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概算" sheetId="1" r:id="rId1"/>
    <sheet name="规模" sheetId="7" r:id="rId2"/>
    <sheet name="明细" sheetId="6" state="hidden" r:id="rId3"/>
    <sheet name="明细2" sheetId="8" r:id="rId4"/>
    <sheet name="可研" sheetId="4" state="hidden" r:id="rId5"/>
    <sheet name="给排水" sheetId="2" state="hidden" r:id="rId6"/>
    <sheet name="道路" sheetId="3" state="hidden" r:id="rId7"/>
  </sheets>
  <definedNames>
    <definedName name="_xlnm._FilterDatabase" localSheetId="1" hidden="1">规模!$A$4:$O$83</definedName>
    <definedName name="_xlnm._FilterDatabase" localSheetId="4" hidden="1">可研!$A$4:$O$253</definedName>
    <definedName name="_xlnm._FilterDatabase" localSheetId="5" hidden="1">给排水!$B$2:$P$128</definedName>
    <definedName name="_xlnm._FilterDatabase" localSheetId="6" hidden="1">道路!$A$3:$N$87</definedName>
    <definedName name="_xlnm._FilterDatabase" localSheetId="0" hidden="1">概算!$A$4:$F$31</definedName>
    <definedName name="_xlnm.Print_Area" localSheetId="0">概算!$A$1:$F$29</definedName>
    <definedName name="_xlnm.Print_Area" localSheetId="1">规模!$A$1:$K$81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<sst xmlns="http://schemas.openxmlformats.org/spreadsheetml/2006/main" count="1545" uniqueCount="249">
  <si>
    <t>附件：</t>
  </si>
  <si>
    <t>长治市上党区主城区排水防涝设施建设工程一期概算核定表</t>
  </si>
  <si>
    <t>建筑工程费</t>
  </si>
  <si>
    <t>其他费用</t>
  </si>
  <si>
    <t>预备费</t>
  </si>
  <si>
    <t>合计（万元）</t>
  </si>
  <si>
    <t>一</t>
  </si>
  <si>
    <t>工程性费用</t>
  </si>
  <si>
    <t>黎都西街街区改造</t>
  </si>
  <si>
    <t>迎宾西街街区改造</t>
  </si>
  <si>
    <t>新建南路街区改造</t>
  </si>
  <si>
    <t>光明南路街区改造</t>
  </si>
  <si>
    <t>正大南路街区改造</t>
  </si>
  <si>
    <t>古韩中路街区改造</t>
  </si>
  <si>
    <t>府后接街街区改造</t>
  </si>
  <si>
    <t>智慧管网软件</t>
  </si>
  <si>
    <t>交通疏解</t>
  </si>
  <si>
    <t>二</t>
  </si>
  <si>
    <t>工程建设其他费用</t>
  </si>
  <si>
    <t>建设单位管理费</t>
  </si>
  <si>
    <t>工程勘察费</t>
  </si>
  <si>
    <t>工程设计费</t>
  </si>
  <si>
    <t>工程造价咨询费</t>
  </si>
  <si>
    <t>工程监理费</t>
  </si>
  <si>
    <t>招标代理费</t>
  </si>
  <si>
    <t>可行性报告研究费</t>
  </si>
  <si>
    <t>场地准备及临时设施费</t>
  </si>
  <si>
    <t>工程保险费</t>
  </si>
  <si>
    <t>工程质量检测费</t>
  </si>
  <si>
    <t>工程安全鉴定费</t>
  </si>
  <si>
    <t>社会稳定风险评估费</t>
  </si>
  <si>
    <t>环境影响评价费</t>
  </si>
  <si>
    <t>三</t>
  </si>
  <si>
    <t>四</t>
  </si>
  <si>
    <t>工程总投资</t>
  </si>
  <si>
    <t>长治市上党区主城区排水防涝设施建设工程一期概算汇总表</t>
  </si>
  <si>
    <t>序号</t>
  </si>
  <si>
    <t>项目或费用名称</t>
  </si>
  <si>
    <t>估算金额(万元)</t>
  </si>
  <si>
    <t>技术经济指标</t>
  </si>
  <si>
    <t>占总投资额比例(%)</t>
  </si>
  <si>
    <t>备注</t>
  </si>
  <si>
    <t>建筑工程费（万元）</t>
  </si>
  <si>
    <t>设备购置费
（万元）</t>
  </si>
  <si>
    <t>其它费
（万元）</t>
  </si>
  <si>
    <t>合计
（万元）</t>
  </si>
  <si>
    <t>单位</t>
  </si>
  <si>
    <t>数量</t>
  </si>
  <si>
    <t>指标        (元/单位量)</t>
  </si>
  <si>
    <t>m</t>
  </si>
  <si>
    <t>（一）</t>
  </si>
  <si>
    <t>配套道路</t>
  </si>
  <si>
    <r>
      <rPr>
        <b/>
        <sz val="10"/>
        <rFont val="仿宋"/>
        <charset val="134"/>
      </rPr>
      <t>m</t>
    </r>
    <r>
      <rPr>
        <b/>
        <vertAlign val="superscript"/>
        <sz val="10"/>
        <rFont val="仿宋"/>
        <charset val="134"/>
      </rPr>
      <t>2</t>
    </r>
  </si>
  <si>
    <t>管网改造</t>
  </si>
  <si>
    <t>详见该部分概算书</t>
  </si>
  <si>
    <t>雨水系统改造</t>
  </si>
  <si>
    <t>污水系统改造</t>
  </si>
  <si>
    <t>管线其他改造</t>
  </si>
  <si>
    <t>智能化工程</t>
  </si>
  <si>
    <t>项</t>
  </si>
  <si>
    <t>（二）</t>
  </si>
  <si>
    <t>（三）</t>
  </si>
  <si>
    <t>有绿化</t>
  </si>
  <si>
    <t>景观工程</t>
  </si>
  <si>
    <t>（四）</t>
  </si>
  <si>
    <t>绿化工程</t>
  </si>
  <si>
    <t>（五）</t>
  </si>
  <si>
    <t>（六）</t>
  </si>
  <si>
    <t>（七）</t>
  </si>
  <si>
    <t>（八）</t>
  </si>
  <si>
    <t>（九）</t>
  </si>
  <si>
    <t>处</t>
  </si>
  <si>
    <t>按财建[2016]504号文下浮20%</t>
  </si>
  <si>
    <t>《工程勘察设计收费标准》2002年修订本计费</t>
  </si>
  <si>
    <t>勘察设计[2002]10号文下浮20%</t>
  </si>
  <si>
    <t>初步设计费</t>
  </si>
  <si>
    <t>按设计费45%计</t>
  </si>
  <si>
    <t>施工图设计费</t>
  </si>
  <si>
    <t>按设计费55%计</t>
  </si>
  <si>
    <t>晋价服[2012]248 号文件下浮20%</t>
  </si>
  <si>
    <t>发改价格【2007】670号文件下浮20%</t>
  </si>
  <si>
    <t>[2002]1980号文件</t>
  </si>
  <si>
    <t>计价格 [1999] 1283 号文件下浮40%</t>
  </si>
  <si>
    <t>按工程费用*1%计算</t>
  </si>
  <si>
    <t>按工程费用*0.4%计算</t>
  </si>
  <si>
    <t>参照《山西省建设工程检测试验收费标准》下浮40%计算</t>
  </si>
  <si>
    <t>按工程费用*0.4%</t>
  </si>
  <si>
    <t>市场价</t>
  </si>
  <si>
    <t>按计价格[2002]125号文件</t>
  </si>
  <si>
    <t>基本预备费</t>
  </si>
  <si>
    <t>基本预备费费率5%</t>
  </si>
  <si>
    <t>涨价预备费</t>
  </si>
  <si>
    <t>建设期贷款利息</t>
  </si>
  <si>
    <t>名称</t>
  </si>
  <si>
    <t>项目造价(元)</t>
  </si>
  <si>
    <t>分部分项</t>
  </si>
  <si>
    <t>措施项目</t>
  </si>
  <si>
    <t>其他项目</t>
  </si>
  <si>
    <t>税金</t>
  </si>
  <si>
    <t>占造价比例(%)</t>
  </si>
  <si>
    <t>工程规模
(m2或m)</t>
  </si>
  <si>
    <t>单位造价
(元/m2或元/m)</t>
  </si>
  <si>
    <t>分部分项合计</t>
  </si>
  <si>
    <t>安全文明施工费</t>
  </si>
  <si>
    <t>其中：实名制费</t>
  </si>
  <si>
    <t>临时设施费</t>
  </si>
  <si>
    <t>环境保护费</t>
  </si>
  <si>
    <t>措施项目合计</t>
  </si>
  <si>
    <t>其他项目合计</t>
  </si>
  <si>
    <t>黎都西街</t>
  </si>
  <si>
    <t/>
  </si>
  <si>
    <t>道路工程</t>
  </si>
  <si>
    <t>新建雨水系统</t>
  </si>
  <si>
    <t>管道疏浚工程</t>
  </si>
  <si>
    <t>管道切改工程</t>
  </si>
  <si>
    <t>污水工程</t>
  </si>
  <si>
    <t>迎宾街</t>
  </si>
  <si>
    <t>新建南路</t>
  </si>
  <si>
    <t>光明南路</t>
  </si>
  <si>
    <t>正大南路</t>
  </si>
  <si>
    <t>中韩中路</t>
  </si>
  <si>
    <t>府后西街</t>
  </si>
  <si>
    <t>合计</t>
  </si>
  <si>
    <t>项目造价(万元)</t>
  </si>
  <si>
    <t>雨水系统改造工程</t>
  </si>
  <si>
    <t>污水系统改造工程</t>
  </si>
  <si>
    <t>长治市上党区主城区排水防涝设施建设工程一期投资估算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</si>
  <si>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</si>
  <si>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</si>
  <si>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</si>
  <si>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</si>
  <si>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</si>
  <si>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</si>
  <si>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</si>
  <si>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</si>
  <si>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</si>
  <si>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2.2.1</t>
  </si>
  <si>
    <t>2.2.2</t>
  </si>
  <si>
    <t>2.2.3</t>
  </si>
  <si>
    <t>2.2.4</t>
  </si>
  <si>
    <t>2.2.5</t>
  </si>
  <si>
    <t>2.3.1</t>
  </si>
  <si>
    <t>2.3.2</t>
  </si>
  <si>
    <t>2.3.3</t>
  </si>
  <si>
    <t>厚度按0.54m</t>
  </si>
  <si>
    <t>18cmC30砼上基层+18cmC30砼下基层+18cm水泥石灰综合稳定土(2:10:88，厂拌)</t>
  </si>
  <si>
    <t>18cm水泥稳定碎石(5%)+18cm水泥稳定碎石(4%)+18cm 水泥石灰综合稳定土(2:10:88，厂拌)</t>
  </si>
  <si>
    <t>6cm 厚砂基透水砖+3cm 厚 M10 干硬性水泥砂浆+15cm厚C20透水混凝土+15cm 厚级配碎石</t>
  </si>
  <si>
    <t>厚度按0.72m</t>
  </si>
  <si>
    <t>4cm 细粒式沥青砼(AC-13C，4%SBS 改性)+改性乳化沥青粘层油0.3~0.6L/m2+8cm沥青混凝土AC-20C下面层+20cm水泥稳定碎石(5%)+20cm水泥稳定碎石(4%)+20cm水泥石灰综合稳定土(2:10:88，厂拌)</t>
  </si>
  <si>
    <t>2.1.10</t>
  </si>
  <si>
    <t>2.1.11</t>
  </si>
  <si>
    <t>2.1.12</t>
  </si>
  <si>
    <t>2.2.6</t>
  </si>
  <si>
    <t>2.2.7</t>
  </si>
  <si>
    <t>按工程直接费1%计算</t>
  </si>
  <si>
    <t>按工程直接费0.4%计算</t>
  </si>
  <si>
    <t>基本预备费费率8%</t>
  </si>
  <si>
    <t>黎都街：道路工程（给排水) 主要材料表</t>
  </si>
  <si>
    <t>系统</t>
  </si>
  <si>
    <t>单价</t>
  </si>
  <si>
    <t>雨水系统</t>
  </si>
  <si>
    <t>II级钢筋混凝土管d300</t>
  </si>
  <si>
    <t>雨水口连接管</t>
  </si>
  <si>
    <r>
      <rPr>
        <sz val="12"/>
        <color indexed="8"/>
        <rFont val="宋体"/>
        <charset val="134"/>
      </rPr>
      <t>II级钢筋混凝土管d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00</t>
    </r>
  </si>
  <si>
    <t>地块预留支管</t>
  </si>
  <si>
    <t>II级钢筋混凝土管d1000</t>
  </si>
  <si>
    <t>II级钢筋混凝土管d1200</t>
  </si>
  <si>
    <t>II级钢筋混凝土管d1500</t>
  </si>
  <si>
    <t>雨水检查井</t>
  </si>
  <si>
    <t>座</t>
  </si>
  <si>
    <t>钢筋混凝土检查井，详见图集04S531-5</t>
  </si>
  <si>
    <t>双箅雨水口</t>
  </si>
  <si>
    <t>参16S518-P43</t>
  </si>
  <si>
    <t>挖方</t>
  </si>
  <si>
    <t>m3</t>
  </si>
  <si>
    <t>注：表中土石方量仅供参考，以现场实际开挖量为准。</t>
  </si>
  <si>
    <t>填方</t>
  </si>
  <si>
    <t>污水系统</t>
  </si>
  <si>
    <t>新型钢带增强聚乙烯螺旋波纹管d400</t>
  </si>
  <si>
    <r>
      <rPr>
        <sz val="12"/>
        <color indexed="8"/>
        <rFont val="宋体"/>
        <charset val="134"/>
      </rPr>
      <t>环刚度≥8KN/m</t>
    </r>
    <r>
      <rPr>
        <vertAlign val="superscript"/>
        <sz val="12"/>
        <color indexed="8"/>
        <rFont val="宋体"/>
        <charset val="134"/>
      </rPr>
      <t>2</t>
    </r>
  </si>
  <si>
    <r>
      <rPr>
        <sz val="12"/>
        <color indexed="8"/>
        <rFont val="宋体"/>
        <charset val="134"/>
      </rPr>
      <t>新型钢带增强聚乙烯螺旋波纹管d</t>
    </r>
    <r>
      <rPr>
        <sz val="12"/>
        <color indexed="8"/>
        <rFont val="宋体"/>
        <charset val="134"/>
      </rPr>
      <t>5</t>
    </r>
    <r>
      <rPr>
        <sz val="12"/>
        <color indexed="8"/>
        <rFont val="宋体"/>
        <charset val="134"/>
      </rPr>
      <t>00</t>
    </r>
  </si>
  <si>
    <t>污水检查井</t>
  </si>
  <si>
    <r>
      <rPr>
        <sz val="12"/>
        <color indexed="8"/>
        <rFont val="宋体"/>
        <charset val="134"/>
      </rPr>
      <t>钢筋混凝土检查井，详见图集04S531-5</t>
    </r>
    <r>
      <rPr>
        <sz val="12"/>
        <color indexed="8"/>
        <rFont val="宋体"/>
        <charset val="134"/>
      </rPr>
      <t>-P15</t>
    </r>
  </si>
  <si>
    <t>管道疏浚</t>
  </si>
  <si>
    <t>原d1000雨污合流管道保留段的20%考虑</t>
  </si>
  <si>
    <t>废除封堵</t>
  </si>
  <si>
    <t>管线迁改</t>
  </si>
  <si>
    <t>迎宾街：道路工程（给排水) 主要材料表</t>
  </si>
  <si>
    <t>原d1000雨污合流管道</t>
  </si>
  <si>
    <t>新建南路：道路工程（给排水) 主要材料表</t>
  </si>
  <si>
    <t>II级钢筋混凝土管d1800</t>
  </si>
  <si>
    <r>
      <rPr>
        <sz val="12"/>
        <color rgb="FF000000"/>
        <rFont val="宋体"/>
        <charset val="134"/>
      </rPr>
      <t>环刚度≥8KN/m</t>
    </r>
    <r>
      <rPr>
        <vertAlign val="superscript"/>
        <sz val="12"/>
        <color indexed="8"/>
        <rFont val="宋体"/>
        <charset val="134"/>
      </rPr>
      <t>2</t>
    </r>
  </si>
  <si>
    <t>光明路：道路工程（给排水) 主要材料表</t>
  </si>
  <si>
    <t>II级钢筋混凝土管d1650</t>
  </si>
  <si>
    <t>II级钢筋混凝土管d2000</t>
  </si>
  <si>
    <t>II级钢筋混凝土管d2200</t>
  </si>
  <si>
    <r>
      <rPr>
        <sz val="12"/>
        <color indexed="8"/>
        <rFont val="宋体"/>
        <charset val="134"/>
      </rPr>
      <t>新型钢带增强聚乙烯螺旋波纹管d</t>
    </r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00</t>
    </r>
  </si>
  <si>
    <t>新型钢带增强聚乙烯螺旋波纹管d500</t>
  </si>
  <si>
    <r>
      <rPr>
        <sz val="12"/>
        <color indexed="8"/>
        <rFont val="宋体"/>
        <charset val="134"/>
      </rPr>
      <t>II级钢筋混凝土管d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00</t>
    </r>
  </si>
  <si>
    <t>正大南路：道路工程（给排水) 主要材料表</t>
  </si>
  <si>
    <r>
      <rPr>
        <sz val="12"/>
        <color indexed="8"/>
        <rFont val="宋体"/>
        <charset val="134"/>
      </rPr>
      <t>II级钢筋混凝土管d1</t>
    </r>
    <r>
      <rPr>
        <sz val="12"/>
        <color indexed="8"/>
        <rFont val="宋体"/>
        <charset val="134"/>
      </rPr>
      <t>0</t>
    </r>
    <r>
      <rPr>
        <sz val="12"/>
        <color indexed="8"/>
        <rFont val="宋体"/>
        <charset val="134"/>
      </rPr>
      <t>00</t>
    </r>
  </si>
  <si>
    <t>古韩中路：道路工程（给排水) 主要材料表</t>
  </si>
  <si>
    <t>II级钢筋混凝土管d800</t>
  </si>
  <si>
    <t>钢筋混凝土检查井，详见图集20S515-P29、31</t>
  </si>
  <si>
    <r>
      <rPr>
        <sz val="12"/>
        <color indexed="8"/>
        <rFont val="宋体"/>
        <charset val="134"/>
      </rPr>
      <t>环刚度≥8KN/m</t>
    </r>
    <r>
      <rPr>
        <vertAlign val="superscript"/>
        <sz val="12"/>
        <color indexed="8"/>
        <rFont val="宋体"/>
        <charset val="134"/>
      </rPr>
      <t>3</t>
    </r>
  </si>
  <si>
    <t>府后街：道路工程（给排水) 主要材料表</t>
  </si>
  <si>
    <t>工程名称</t>
  </si>
  <si>
    <t>工程数量</t>
  </si>
  <si>
    <t>合价</t>
  </si>
  <si>
    <t>路面破除</t>
  </si>
  <si>
    <r>
      <rPr>
        <sz val="10"/>
        <color theme="1"/>
        <rFont val="Times New Roman"/>
        <charset val="0"/>
      </rPr>
      <t>m</t>
    </r>
    <r>
      <rPr>
        <vertAlign val="superscript"/>
        <sz val="10"/>
        <color indexed="8"/>
        <rFont val="Times New Roman"/>
        <charset val="0"/>
      </rPr>
      <t>2</t>
    </r>
  </si>
  <si>
    <t>路面恢复(破除宽大于3m)</t>
  </si>
  <si>
    <t>18cm水泥稳定碎石(5%)+18cm水泥稳定碎石(4%)+18cm水泥石灰综合稳定土(2:10:88，厂拌)</t>
  </si>
  <si>
    <t>雨水管覆土2.0m考虑，污水管覆土2.5m考虑   管道2侧留0.5m间距，雨水基础宽2.8m,开挖坡比暂1：1，开挖面宽各约5.2m</t>
  </si>
  <si>
    <t>机制C30砼路缘石15x40x100cm</t>
  </si>
  <si>
    <t>污水基础宽1.3m,开挖坡比暂1：1，开挖面宽各3.7m</t>
  </si>
  <si>
    <t>人行道破除</t>
  </si>
  <si>
    <t>人行道恢复</t>
  </si>
  <si>
    <t>侧分带破除</t>
  </si>
  <si>
    <t>侧分带恢复</t>
  </si>
  <si>
    <t>施工措施项目费</t>
  </si>
  <si>
    <t>迎宾西街</t>
  </si>
  <si>
    <t>路面恢复(破除宽小于3m)</t>
  </si>
  <si>
    <t>雨水管覆土2.0m考虑，污水管覆土2.5m考虑   管道2侧留0.5m间距，雨水基础宽2.8m,开挖坡比暂1：1，开挖面宽各约4.3m</t>
  </si>
  <si>
    <t>污水基础宽1.2m,开挖坡比暂1：1，开挖面宽各3.5m</t>
  </si>
  <si>
    <t>行道树迁移及恢复</t>
  </si>
  <si>
    <t>棵</t>
  </si>
  <si>
    <t>厚度按0.64m</t>
  </si>
  <si>
    <t>4cm 细粒式沥青砼(AC-13C，4%SBS 改性)+改性乳化沥青粘层油0.3~0.6L/m2+6cm沥青混凝土AC-20C下面层+18cmC30砼上基层+18cmC30砼下基层+18cm水泥石灰综合稳定土(2:10:88，厂拌)</t>
  </si>
  <si>
    <t>土石比暂按2/8计　</t>
  </si>
  <si>
    <t>标线恢复</t>
  </si>
  <si>
    <t>光明路</t>
  </si>
  <si>
    <r>
      <rPr>
        <sz val="10"/>
        <color theme="1"/>
        <rFont val="宋体"/>
        <charset val="134"/>
      </rPr>
      <t>4cm 细粒式沥青砼(AC-13C，4%SBS 改性)+改性乳化沥青粘层油0.3~0.6L/m2+</t>
    </r>
    <r>
      <rPr>
        <sz val="10"/>
        <color indexed="30"/>
        <rFont val="宋体"/>
        <charset val="134"/>
      </rPr>
      <t>8cm</t>
    </r>
    <r>
      <rPr>
        <sz val="10"/>
        <color theme="1"/>
        <rFont val="宋体"/>
        <charset val="134"/>
      </rPr>
      <t>沥青混凝土AC-20C下面层+20cm水泥稳定碎石(5%)+20cm水泥稳定碎石(4%)+20cm水泥石灰综合稳定土(2:10:88，厂拌)</t>
    </r>
  </si>
  <si>
    <t>雨水管覆土2.0m考虑，污水管覆土2.5m考虑   管道2侧留0.5m间距，雨水基础宽3.2、3m,开挖坡比暂1：1，开挖面宽各5.8、5.5m</t>
  </si>
  <si>
    <t>污水基础宽1.8m,1.6m,开挖坡比暂1：1，开挖面宽各4.2m,3.9m</t>
  </si>
  <si>
    <t>正大南街</t>
  </si>
  <si>
    <t>厚度按0.63m</t>
  </si>
  <si>
    <t>4cm 细粒式沥青砼(AC-13C，4%SBS 改性)+改性乳化沥青粘层油0.3~0.6L/m2+5cm沥青混凝土AC-20C下面层+18cm水泥稳定碎石(5%)+18cm水泥稳定碎石(4%)+18cm水泥石灰综合稳定土(2:10:88，厂拌)</t>
  </si>
  <si>
    <t>雨水管覆土2.0m考虑，污水管覆土2.5m考虑   管道2侧留0.5m间距，雨水基础宽2.5m,开挖坡比暂1：1，开挖面宽各4.8m</t>
  </si>
  <si>
    <t>古韩中路</t>
  </si>
  <si>
    <r>
      <rPr>
        <sz val="10"/>
        <color rgb="FFFF0000"/>
        <rFont val="Times New Roman"/>
        <charset val="0"/>
      </rPr>
      <t>m</t>
    </r>
    <r>
      <rPr>
        <vertAlign val="superscript"/>
        <sz val="10"/>
        <color indexed="10"/>
        <rFont val="Times New Roman"/>
        <charset val="0"/>
      </rPr>
      <t>2</t>
    </r>
  </si>
  <si>
    <t>4cm细粒式沥青砼(AC-13C，4%SBS 改性)+改性乳化沥青粘层油0.3~0.6L/m2+5cm沥青混凝土AC-20C下面层+18cm水泥稳定碎石(5%)+18cm水泥稳定碎石(4%)+18cm水泥石灰综合稳定土(2:10:88，厂拌)</t>
  </si>
  <si>
    <t>4cm 细粒式沥青砼(AC-13C，4%SBS 改性)+改性乳化沥青粘层油0.3~0.6L/m2+6cm沥青混凝土AC-20C下面层+18cmC30砼基层+18cmC20砼底基层+18cm水泥石灰综合稳定土(2:10:88，厂拌)</t>
  </si>
  <si>
    <t>雨水管覆土2.0m考虑，污水管覆土2.5m考虑   管道2侧留0.5m间距，雨水基础宽2.2m,开挖坡比暂1：1，开挖面宽各4.3m</t>
  </si>
  <si>
    <t>府后街</t>
  </si>
  <si>
    <r>
      <rPr>
        <sz val="10"/>
        <color rgb="FFFF0000"/>
        <rFont val="Times New Roman"/>
        <charset val="134"/>
      </rPr>
      <t>m</t>
    </r>
    <r>
      <rPr>
        <vertAlign val="superscript"/>
        <sz val="10"/>
        <color indexed="10"/>
        <rFont val="Times New Roman"/>
        <charset val="0"/>
      </rPr>
      <t>2</t>
    </r>
  </si>
  <si>
    <t>路面恢复</t>
  </si>
  <si>
    <r>
      <rPr>
        <sz val="10"/>
        <color rgb="FF000000"/>
        <rFont val="Times New Roman"/>
        <charset val="134"/>
      </rPr>
      <t>m</t>
    </r>
    <r>
      <rPr>
        <vertAlign val="superscript"/>
        <sz val="10"/>
        <color indexed="8"/>
        <rFont val="Times New Roman"/>
        <charset val="0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</si>
</sst>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6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0"/>
    </font>
    <font>
      <sz val="10"/>
      <color rgb="FFFF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1"/>
      <name val="等线"/>
      <charset val="134"/>
    </font>
    <font>
      <b/>
      <sz val="11"/>
      <name val="等线"/>
      <charset val="134"/>
    </font>
    <font>
      <sz val="11"/>
      <name val="仿宋"/>
      <charset val="134"/>
    </font>
    <font>
      <b/>
      <sz val="16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0"/>
      <name val="Arial"/>
      <charset val="0"/>
    </font>
    <font>
      <b/>
      <sz val="10"/>
      <name val="Arial"/>
      <charset val="0"/>
    </font>
    <font>
      <sz val="9"/>
      <color indexed="8"/>
      <name val="宋体"/>
      <charset val="0"/>
    </font>
    <font>
      <b/>
      <sz val="9"/>
      <name val="宋体"/>
      <charset val="0"/>
      <scheme val="major"/>
    </font>
    <font>
      <b/>
      <sz val="9"/>
      <color indexed="8"/>
      <name val="宋体"/>
      <charset val="0"/>
    </font>
    <font>
      <sz val="9"/>
      <name val="宋体"/>
      <charset val="0"/>
      <scheme val="major"/>
    </font>
    <font>
      <b/>
      <sz val="9"/>
      <name val="宋体"/>
      <charset val="0"/>
    </font>
    <font>
      <sz val="9"/>
      <name val="宋体"/>
      <charset val="0"/>
    </font>
    <font>
      <sz val="14"/>
      <name val="仿宋_GB2312"/>
      <charset val="134"/>
    </font>
    <font>
      <b/>
      <sz val="22"/>
      <name val="方正小标宋简体"/>
      <charset val="134"/>
    </font>
    <font>
      <b/>
      <sz val="22"/>
      <name val="仿宋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30"/>
      <name val="宋体"/>
      <charset val="134"/>
    </font>
    <font>
      <vertAlign val="superscript"/>
      <sz val="12"/>
      <color indexed="8"/>
      <name val="宋体"/>
      <charset val="134"/>
    </font>
    <font>
      <vertAlign val="superscript"/>
      <sz val="10"/>
      <color indexed="8"/>
      <name val="Times New Roman"/>
      <charset val="0"/>
    </font>
    <font>
      <vertAlign val="superscript"/>
      <sz val="10"/>
      <color indexed="10"/>
      <name val="Times New Roman"/>
      <charset val="0"/>
    </font>
    <font>
      <b/>
      <vertAlign val="superscript"/>
      <sz val="10"/>
      <name val="仿宋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19" applyNumberFormat="0" applyAlignment="0" applyProtection="0">
      <alignment vertical="center"/>
    </xf>
    <xf numFmtId="0" fontId="48" fillId="12" borderId="20" applyNumberFormat="0" applyAlignment="0" applyProtection="0">
      <alignment vertical="center"/>
    </xf>
    <xf numFmtId="0" fontId="49" fillId="12" borderId="19" applyNumberFormat="0" applyAlignment="0" applyProtection="0">
      <alignment vertical="center"/>
    </xf>
    <xf numFmtId="0" fontId="50" fillId="13" borderId="21" applyNumberFormat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8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/>
    </xf>
    <xf numFmtId="176" fontId="0" fillId="3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176" fontId="5" fillId="5" borderId="4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2" fillId="5" borderId="3" xfId="0" applyNumberFormat="1" applyFont="1" applyFill="1" applyBorder="1" applyAlignment="1">
      <alignment horizontal="center" vertical="center" wrapText="1"/>
    </xf>
    <xf numFmtId="176" fontId="3" fillId="5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76" fontId="0" fillId="5" borderId="3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176" fontId="0" fillId="3" borderId="4" xfId="0" applyNumberFormat="1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76" fontId="5" fillId="5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176" fontId="0" fillId="5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/>
    <xf numFmtId="0" fontId="5" fillId="0" borderId="3" xfId="0" applyFont="1" applyFill="1" applyBorder="1" applyAlignment="1"/>
    <xf numFmtId="0" fontId="5" fillId="0" borderId="0" xfId="0" applyFont="1" applyFill="1" applyBorder="1" applyAlignment="1"/>
    <xf numFmtId="177" fontId="9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6" fontId="6" fillId="5" borderId="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76" fontId="4" fillId="5" borderId="3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/>
    </xf>
    <xf numFmtId="0" fontId="13" fillId="0" borderId="7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51" applyNumberFormat="1" applyFont="1" applyFill="1" applyBorder="1" applyAlignment="1">
      <alignment horizontal="left" vertical="center"/>
    </xf>
    <xf numFmtId="0" fontId="17" fillId="6" borderId="3" xfId="51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7" fillId="6" borderId="3" xfId="51" applyNumberFormat="1" applyFont="1" applyFill="1" applyBorder="1" applyAlignment="1">
      <alignment horizontal="center" vertical="center"/>
    </xf>
    <xf numFmtId="0" fontId="17" fillId="4" borderId="3" xfId="51" applyNumberFormat="1" applyFont="1" applyFill="1" applyBorder="1" applyAlignment="1">
      <alignment horizontal="left" vertical="center"/>
    </xf>
    <xf numFmtId="0" fontId="18" fillId="4" borderId="3" xfId="0" applyNumberFormat="1" applyFont="1" applyFill="1" applyBorder="1" applyAlignment="1">
      <alignment horizontal="center" vertical="center"/>
    </xf>
    <xf numFmtId="0" fontId="17" fillId="4" borderId="3" xfId="51" applyNumberFormat="1" applyFont="1" applyFill="1" applyBorder="1" applyAlignment="1">
      <alignment horizontal="center" vertical="center"/>
    </xf>
    <xf numFmtId="0" fontId="17" fillId="4" borderId="3" xfId="51" applyNumberFormat="1" applyFont="1" applyFill="1" applyBorder="1" applyAlignment="1">
      <alignment vertical="center"/>
    </xf>
    <xf numFmtId="176" fontId="17" fillId="6" borderId="3" xfId="51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7" fillId="0" borderId="3" xfId="51" applyNumberFormat="1" applyFont="1" applyFill="1" applyBorder="1" applyAlignment="1">
      <alignment horizontal="center" vertical="center"/>
    </xf>
    <xf numFmtId="0" fontId="17" fillId="0" borderId="3" xfId="51" applyNumberFormat="1" applyFont="1" applyFill="1" applyBorder="1" applyAlignment="1">
      <alignment vertical="center"/>
    </xf>
    <xf numFmtId="0" fontId="17" fillId="6" borderId="3" xfId="51" applyNumberFormat="1" applyFont="1" applyFill="1" applyBorder="1" applyAlignment="1">
      <alignment vertical="center"/>
    </xf>
    <xf numFmtId="0" fontId="17" fillId="0" borderId="0" xfId="51" applyNumberFormat="1" applyFont="1" applyFill="1" applyBorder="1" applyAlignment="1">
      <alignment horizontal="left" vertical="center"/>
    </xf>
    <xf numFmtId="0" fontId="17" fillId="6" borderId="0" xfId="51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7" fillId="6" borderId="0" xfId="51" applyNumberFormat="1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9" fillId="6" borderId="3" xfId="51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horizontal="left" vertical="center"/>
    </xf>
    <xf numFmtId="0" fontId="17" fillId="0" borderId="8" xfId="51" applyNumberFormat="1" applyFont="1" applyFill="1" applyBorder="1" applyAlignment="1">
      <alignment horizontal="center" vertical="center"/>
    </xf>
    <xf numFmtId="0" fontId="17" fillId="0" borderId="9" xfId="51" applyNumberFormat="1" applyFont="1" applyFill="1" applyBorder="1" applyAlignment="1">
      <alignment horizontal="center" vertical="center"/>
    </xf>
    <xf numFmtId="0" fontId="17" fillId="0" borderId="10" xfId="51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77" fontId="22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3" fillId="0" borderId="0" xfId="49" applyFont="1" applyFill="1" applyAlignment="1">
      <alignment horizontal="center" vertical="center" wrapText="1"/>
    </xf>
    <xf numFmtId="0" fontId="24" fillId="0" borderId="11" xfId="49" applyFont="1" applyFill="1" applyBorder="1" applyAlignment="1">
      <alignment horizontal="center" vertical="center" wrapText="1"/>
    </xf>
    <xf numFmtId="0" fontId="24" fillId="0" borderId="12" xfId="49" applyFont="1" applyFill="1" applyBorder="1" applyAlignment="1">
      <alignment horizontal="center" vertical="center"/>
    </xf>
    <xf numFmtId="177" fontId="24" fillId="0" borderId="12" xfId="49" applyNumberFormat="1" applyFont="1" applyFill="1" applyBorder="1" applyAlignment="1">
      <alignment horizontal="center" vertical="center" wrapText="1"/>
    </xf>
    <xf numFmtId="0" fontId="24" fillId="0" borderId="13" xfId="49" applyFont="1" applyFill="1" applyBorder="1" applyAlignment="1">
      <alignment horizontal="center" vertical="center" wrapText="1"/>
    </xf>
    <xf numFmtId="0" fontId="24" fillId="0" borderId="3" xfId="49" applyFont="1" applyFill="1" applyBorder="1" applyAlignment="1">
      <alignment horizontal="center" vertical="center"/>
    </xf>
    <xf numFmtId="177" fontId="24" fillId="0" borderId="3" xfId="49" applyNumberFormat="1" applyFont="1" applyFill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3" xfId="49" applyFont="1" applyFill="1" applyBorder="1" applyAlignment="1">
      <alignment horizontal="left" vertical="center"/>
    </xf>
    <xf numFmtId="177" fontId="25" fillId="0" borderId="3" xfId="49" applyNumberFormat="1" applyFont="1" applyFill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/>
    </xf>
    <xf numFmtId="0" fontId="24" fillId="0" borderId="13" xfId="49" applyFont="1" applyFill="1" applyBorder="1" applyAlignment="1">
      <alignment horizontal="center" vertical="center"/>
    </xf>
    <xf numFmtId="10" fontId="24" fillId="0" borderId="3" xfId="49" applyNumberFormat="1" applyFont="1" applyFill="1" applyBorder="1" applyAlignment="1">
      <alignment horizontal="left" vertical="center" wrapText="1"/>
    </xf>
    <xf numFmtId="177" fontId="24" fillId="0" borderId="3" xfId="49" applyNumberFormat="1" applyFont="1" applyFill="1" applyBorder="1" applyAlignment="1" applyProtection="1">
      <alignment horizontal="center" vertical="center" wrapText="1"/>
    </xf>
    <xf numFmtId="0" fontId="24" fillId="0" borderId="3" xfId="49" applyFont="1" applyFill="1" applyBorder="1" applyAlignment="1">
      <alignment horizontal="left" vertical="center"/>
    </xf>
    <xf numFmtId="177" fontId="24" fillId="0" borderId="13" xfId="49" applyNumberFormat="1" applyFont="1" applyFill="1" applyBorder="1" applyAlignment="1">
      <alignment horizontal="center" vertical="center"/>
    </xf>
    <xf numFmtId="177" fontId="23" fillId="0" borderId="0" xfId="49" applyNumberFormat="1" applyFont="1" applyFill="1" applyAlignment="1">
      <alignment horizontal="center" vertical="center" wrapText="1"/>
    </xf>
    <xf numFmtId="10" fontId="24" fillId="0" borderId="12" xfId="49" applyNumberFormat="1" applyFont="1" applyFill="1" applyBorder="1" applyAlignment="1">
      <alignment horizontal="center" vertical="center" wrapText="1"/>
    </xf>
    <xf numFmtId="177" fontId="24" fillId="0" borderId="8" xfId="49" applyNumberFormat="1" applyFont="1" applyFill="1" applyBorder="1" applyAlignment="1">
      <alignment horizontal="center" vertical="center" wrapText="1"/>
    </xf>
    <xf numFmtId="10" fontId="24" fillId="0" borderId="3" xfId="49" applyNumberFormat="1" applyFont="1" applyFill="1" applyBorder="1" applyAlignment="1">
      <alignment horizontal="center" vertical="center" wrapText="1"/>
    </xf>
    <xf numFmtId="177" fontId="24" fillId="0" borderId="10" xfId="49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10" fontId="25" fillId="0" borderId="3" xfId="3" applyNumberFormat="1" applyFont="1" applyFill="1" applyBorder="1" applyAlignment="1" applyProtection="1">
      <alignment horizontal="center" vertical="center" wrapText="1"/>
    </xf>
    <xf numFmtId="9" fontId="20" fillId="0" borderId="0" xfId="3" applyFont="1" applyFill="1" applyAlignment="1">
      <alignment vertical="center"/>
    </xf>
    <xf numFmtId="10" fontId="25" fillId="0" borderId="3" xfId="49" applyNumberFormat="1" applyFont="1" applyFill="1" applyBorder="1" applyAlignment="1">
      <alignment horizontal="center" vertical="center" wrapText="1"/>
    </xf>
    <xf numFmtId="10" fontId="20" fillId="0" borderId="0" xfId="0" applyNumberFormat="1" applyFont="1" applyFill="1" applyAlignment="1">
      <alignment vertical="center"/>
    </xf>
    <xf numFmtId="177" fontId="25" fillId="0" borderId="3" xfId="49" applyNumberFormat="1" applyFont="1" applyFill="1" applyBorder="1" applyAlignment="1" applyProtection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Alignment="1">
      <alignment vertical="center"/>
    </xf>
    <xf numFmtId="0" fontId="22" fillId="0" borderId="3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10" fontId="25" fillId="0" borderId="3" xfId="49" applyNumberFormat="1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vertical="center"/>
    </xf>
    <xf numFmtId="0" fontId="25" fillId="0" borderId="3" xfId="49" applyFont="1" applyFill="1" applyBorder="1" applyAlignment="1">
      <alignment horizontal="left" vertical="center" wrapText="1"/>
    </xf>
    <xf numFmtId="177" fontId="25" fillId="0" borderId="3" xfId="49" applyNumberFormat="1" applyFont="1" applyFill="1" applyBorder="1" applyAlignment="1">
      <alignment horizontal="center" vertical="center"/>
    </xf>
    <xf numFmtId="177" fontId="24" fillId="0" borderId="3" xfId="49" applyNumberFormat="1" applyFont="1" applyFill="1" applyBorder="1" applyAlignment="1">
      <alignment horizontal="center" wrapText="1"/>
    </xf>
    <xf numFmtId="177" fontId="25" fillId="0" borderId="3" xfId="49" applyNumberFormat="1" applyFont="1" applyFill="1" applyBorder="1" applyAlignment="1">
      <alignment horizontal="center" wrapText="1"/>
    </xf>
    <xf numFmtId="0" fontId="24" fillId="0" borderId="14" xfId="49" applyFont="1" applyFill="1" applyBorder="1" applyAlignment="1">
      <alignment horizontal="center" vertical="center"/>
    </xf>
    <xf numFmtId="0" fontId="25" fillId="0" borderId="15" xfId="49" applyFont="1" applyFill="1" applyBorder="1" applyAlignment="1">
      <alignment horizontal="left" vertical="center"/>
    </xf>
    <xf numFmtId="177" fontId="25" fillId="0" borderId="15" xfId="49" applyNumberFormat="1" applyFont="1" applyFill="1" applyBorder="1" applyAlignment="1">
      <alignment horizontal="center" vertical="center"/>
    </xf>
    <xf numFmtId="177" fontId="25" fillId="0" borderId="15" xfId="5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10" fontId="24" fillId="0" borderId="3" xfId="49" applyNumberFormat="1" applyFont="1" applyFill="1" applyBorder="1" applyAlignment="1">
      <alignment horizontal="center" vertical="center"/>
    </xf>
    <xf numFmtId="177" fontId="25" fillId="0" borderId="15" xfId="49" applyNumberFormat="1" applyFont="1" applyFill="1" applyBorder="1" applyAlignment="1">
      <alignment horizontal="center" vertical="center" wrapText="1"/>
    </xf>
    <xf numFmtId="10" fontId="25" fillId="0" borderId="15" xfId="3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/>
    <xf numFmtId="0" fontId="27" fillId="7" borderId="0" xfId="0" applyFont="1" applyFill="1" applyBorder="1" applyAlignment="1"/>
    <xf numFmtId="0" fontId="28" fillId="4" borderId="0" xfId="0" applyFont="1" applyFill="1" applyBorder="1" applyAlignment="1"/>
    <xf numFmtId="0" fontId="27" fillId="4" borderId="0" xfId="0" applyFont="1" applyFill="1" applyBorder="1" applyAlignment="1"/>
    <xf numFmtId="0" fontId="29" fillId="0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7" borderId="3" xfId="0" applyNumberFormat="1" applyFont="1" applyFill="1" applyBorder="1" applyAlignment="1">
      <alignment horizontal="justify" vertical="center" wrapText="1"/>
    </xf>
    <xf numFmtId="0" fontId="29" fillId="7" borderId="3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/>
    <xf numFmtId="0" fontId="29" fillId="4" borderId="3" xfId="0" applyNumberFormat="1" applyFont="1" applyFill="1" applyBorder="1" applyAlignment="1">
      <alignment horizontal="right" vertical="center" wrapText="1"/>
    </xf>
    <xf numFmtId="0" fontId="29" fillId="7" borderId="3" xfId="0" applyNumberFormat="1" applyFont="1" applyFill="1" applyBorder="1" applyAlignment="1">
      <alignment horizontal="right" vertical="center" wrapText="1"/>
    </xf>
    <xf numFmtId="0" fontId="31" fillId="4" borderId="3" xfId="0" applyNumberFormat="1" applyFont="1" applyFill="1" applyBorder="1" applyAlignment="1">
      <alignment horizontal="justify" vertical="center" wrapText="1"/>
    </xf>
    <xf numFmtId="0" fontId="31" fillId="4" borderId="3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/>
    <xf numFmtId="177" fontId="31" fillId="4" borderId="3" xfId="0" applyNumberFormat="1" applyFont="1" applyFill="1" applyBorder="1" applyAlignment="1">
      <alignment horizontal="right" vertical="center" wrapText="1"/>
    </xf>
    <xf numFmtId="0" fontId="31" fillId="4" borderId="3" xfId="0" applyNumberFormat="1" applyFont="1" applyFill="1" applyBorder="1" applyAlignment="1">
      <alignment horizontal="right" vertical="center" wrapText="1"/>
    </xf>
    <xf numFmtId="0" fontId="29" fillId="0" borderId="3" xfId="0" applyNumberFormat="1" applyFont="1" applyFill="1" applyBorder="1" applyAlignment="1">
      <alignment horizontal="justify" vertical="center" wrapText="1"/>
    </xf>
    <xf numFmtId="0" fontId="29" fillId="0" borderId="3" xfId="0" applyFont="1" applyFill="1" applyBorder="1" applyAlignment="1">
      <alignment horizontal="left" vertical="center" wrapText="1"/>
    </xf>
    <xf numFmtId="177" fontId="29" fillId="4" borderId="3" xfId="0" applyNumberFormat="1" applyFont="1" applyFill="1" applyBorder="1" applyAlignment="1">
      <alignment horizontal="right" vertical="center" wrapText="1"/>
    </xf>
    <xf numFmtId="0" fontId="29" fillId="0" borderId="3" xfId="0" applyNumberFormat="1" applyFont="1" applyFill="1" applyBorder="1" applyAlignment="1">
      <alignment horizontal="right" vertical="center" wrapText="1"/>
    </xf>
    <xf numFmtId="0" fontId="33" fillId="4" borderId="0" xfId="0" applyFont="1" applyFill="1" applyBorder="1" applyAlignment="1"/>
    <xf numFmtId="0" fontId="34" fillId="0" borderId="0" xfId="0" applyFont="1" applyFill="1" applyBorder="1" applyAlignment="1"/>
    <xf numFmtId="0" fontId="29" fillId="0" borderId="3" xfId="0" applyFont="1" applyFill="1" applyBorder="1" applyAlignment="1">
      <alignment horizontal="justify" vertical="center" wrapText="1"/>
    </xf>
    <xf numFmtId="0" fontId="29" fillId="0" borderId="3" xfId="0" applyFont="1" applyFill="1" applyBorder="1" applyAlignment="1">
      <alignment horizontal="right" vertical="center" wrapText="1"/>
    </xf>
    <xf numFmtId="0" fontId="29" fillId="4" borderId="3" xfId="0" applyFont="1" applyFill="1" applyBorder="1" applyAlignment="1">
      <alignment horizontal="right" vertical="center" wrapText="1"/>
    </xf>
    <xf numFmtId="0" fontId="29" fillId="7" borderId="3" xfId="0" applyFont="1" applyFill="1" applyBorder="1" applyAlignment="1">
      <alignment horizontal="right" vertical="center" wrapText="1"/>
    </xf>
    <xf numFmtId="0" fontId="31" fillId="4" borderId="3" xfId="0" applyFont="1" applyFill="1" applyBorder="1" applyAlignment="1">
      <alignment horizontal="right" vertical="center" wrapText="1"/>
    </xf>
    <xf numFmtId="0" fontId="27" fillId="8" borderId="0" xfId="0" applyFont="1" applyFill="1" applyBorder="1" applyAlignment="1"/>
    <xf numFmtId="0" fontId="27" fillId="9" borderId="0" xfId="0" applyFont="1" applyFill="1" applyBorder="1" applyAlignment="1"/>
    <xf numFmtId="0" fontId="29" fillId="8" borderId="3" xfId="0" applyNumberFormat="1" applyFont="1" applyFill="1" applyBorder="1" applyAlignment="1">
      <alignment horizontal="justify" vertical="center" wrapText="1"/>
    </xf>
    <xf numFmtId="0" fontId="29" fillId="8" borderId="3" xfId="0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right" vertical="center" wrapText="1"/>
    </xf>
    <xf numFmtId="0" fontId="29" fillId="9" borderId="3" xfId="0" applyNumberFormat="1" applyFont="1" applyFill="1" applyBorder="1" applyAlignment="1">
      <alignment horizontal="justify" vertical="center" wrapText="1"/>
    </xf>
    <xf numFmtId="0" fontId="29" fillId="9" borderId="3" xfId="0" applyFont="1" applyFill="1" applyBorder="1" applyAlignment="1">
      <alignment horizontal="left" vertical="center" wrapText="1"/>
    </xf>
    <xf numFmtId="0" fontId="29" fillId="9" borderId="3" xfId="0" applyNumberFormat="1" applyFont="1" applyFill="1" applyBorder="1" applyAlignment="1">
      <alignment horizontal="right" vertical="center" wrapText="1"/>
    </xf>
    <xf numFmtId="0" fontId="29" fillId="8" borderId="3" xfId="0" applyFont="1" applyFill="1" applyBorder="1" applyAlignment="1">
      <alignment horizontal="right" vertical="center" wrapText="1"/>
    </xf>
    <xf numFmtId="0" fontId="29" fillId="9" borderId="3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vertical="center"/>
    </xf>
    <xf numFmtId="0" fontId="25" fillId="4" borderId="13" xfId="49" applyFont="1" applyFill="1" applyBorder="1" applyAlignment="1">
      <alignment horizontal="center" vertical="center" wrapText="1"/>
    </xf>
    <xf numFmtId="0" fontId="25" fillId="4" borderId="3" xfId="49" applyFont="1" applyFill="1" applyBorder="1" applyAlignment="1">
      <alignment horizontal="left" vertical="center"/>
    </xf>
    <xf numFmtId="177" fontId="25" fillId="4" borderId="3" xfId="49" applyNumberFormat="1" applyFont="1" applyFill="1" applyBorder="1" applyAlignment="1">
      <alignment horizontal="center" vertical="center" wrapText="1"/>
    </xf>
    <xf numFmtId="10" fontId="25" fillId="4" borderId="3" xfId="49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left" vertical="center"/>
    </xf>
    <xf numFmtId="10" fontId="20" fillId="4" borderId="0" xfId="0" applyNumberFormat="1" applyFont="1" applyFill="1" applyAlignment="1">
      <alignment vertical="center"/>
    </xf>
    <xf numFmtId="0" fontId="24" fillId="0" borderId="3" xfId="49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vertical="center"/>
    </xf>
    <xf numFmtId="0" fontId="24" fillId="4" borderId="3" xfId="49" applyFont="1" applyFill="1" applyBorder="1" applyAlignment="1">
      <alignment horizontal="left" vertical="center" wrapText="1"/>
    </xf>
    <xf numFmtId="0" fontId="35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36" fillId="0" borderId="0" xfId="49" applyFont="1" applyFill="1" applyAlignment="1">
      <alignment horizontal="center" vertical="center" wrapText="1"/>
    </xf>
    <xf numFmtId="0" fontId="37" fillId="0" borderId="0" xfId="49" applyFont="1" applyFill="1" applyAlignment="1">
      <alignment horizontal="center" vertical="center" wrapText="1"/>
    </xf>
    <xf numFmtId="0" fontId="35" fillId="0" borderId="3" xfId="49" applyFont="1" applyFill="1" applyBorder="1" applyAlignment="1">
      <alignment horizontal="center" vertical="center" wrapText="1"/>
    </xf>
    <xf numFmtId="0" fontId="35" fillId="0" borderId="3" xfId="49" applyFont="1" applyFill="1" applyBorder="1" applyAlignment="1">
      <alignment horizontal="center" vertical="center"/>
    </xf>
    <xf numFmtId="177" fontId="35" fillId="0" borderId="3" xfId="49" applyNumberFormat="1" applyFont="1" applyFill="1" applyBorder="1" applyAlignment="1">
      <alignment horizontal="center" vertical="center" wrapText="1"/>
    </xf>
    <xf numFmtId="0" fontId="38" fillId="0" borderId="3" xfId="49" applyFont="1" applyFill="1" applyBorder="1" applyAlignment="1">
      <alignment horizontal="center" vertical="center" wrapText="1"/>
    </xf>
    <xf numFmtId="0" fontId="38" fillId="0" borderId="3" xfId="49" applyFont="1" applyFill="1" applyBorder="1" applyAlignment="1">
      <alignment horizontal="center" vertical="center"/>
    </xf>
    <xf numFmtId="177" fontId="38" fillId="0" borderId="3" xfId="49" applyNumberFormat="1" applyFont="1" applyFill="1" applyBorder="1" applyAlignment="1">
      <alignment horizontal="center" vertical="center" wrapText="1"/>
    </xf>
    <xf numFmtId="9" fontId="21" fillId="0" borderId="0" xfId="3" applyFont="1" applyFill="1" applyAlignment="1">
      <alignment vertical="center"/>
    </xf>
    <xf numFmtId="177" fontId="35" fillId="0" borderId="3" xfId="49" applyNumberFormat="1" applyFont="1" applyFill="1" applyBorder="1" applyAlignment="1">
      <alignment horizontal="center" wrapText="1"/>
    </xf>
    <xf numFmtId="177" fontId="38" fillId="0" borderId="3" xfId="49" applyNumberFormat="1" applyFont="1" applyFill="1" applyBorder="1" applyAlignment="1">
      <alignment horizontal="center" wrapText="1"/>
    </xf>
    <xf numFmtId="177" fontId="38" fillId="0" borderId="3" xfId="49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_武隆游客中心估算" xfId="49"/>
    <cellStyle name="常规 10 2 2 2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/>
  </sheetPr>
  <dimension ref="A1:G31"/>
  <sheetViews>
    <sheetView tabSelected="1" view="pageBreakPreview" zoomScale="70" zoomScaleNormal="115" workbookViewId="0">
      <pane ySplit="3" topLeftCell="A4" activePane="bottomLeft" state="frozen"/>
      <selection/>
      <selection pane="bottomLeft" activeCell="D6" sqref="D6"/>
    </sheetView>
  </sheetViews>
  <sheetFormatPr defaultColWidth="8.89166666666667" defaultRowHeight="14.25" outlineLevelCol="6"/>
  <cols>
    <col min="1" max="1" width="15.625" style="99" customWidth="1"/>
    <col min="2" max="2" width="27.625" style="99" customWidth="1"/>
    <col min="3" max="5" width="16.625" style="99" customWidth="1"/>
    <col min="6" max="6" width="22.625" style="99" customWidth="1"/>
    <col min="7" max="7" width="12.8" style="97" customWidth="1"/>
    <col min="8" max="9" width="12.8" style="97"/>
    <col min="10" max="10" width="10.525" style="97"/>
    <col min="11" max="16384" width="8.89166666666667" style="97"/>
  </cols>
  <sheetData>
    <row r="1" ht="30" customHeight="1" spans="1:6">
      <c r="A1" s="195" t="s">
        <v>0</v>
      </c>
      <c r="B1" s="196"/>
      <c r="C1" s="196"/>
      <c r="D1" s="196"/>
      <c r="E1" s="196"/>
      <c r="F1" s="196"/>
    </row>
    <row r="2" s="97" customFormat="1" ht="50" customHeight="1" spans="1:6">
      <c r="A2" s="197" t="s">
        <v>1</v>
      </c>
      <c r="B2" s="198"/>
      <c r="C2" s="198"/>
      <c r="D2" s="198"/>
      <c r="E2" s="198"/>
      <c r="F2" s="198"/>
    </row>
    <row r="3" s="97" customFormat="1" ht="30" customHeight="1" spans="1:6">
      <c r="A3" s="199"/>
      <c r="B3" s="200"/>
      <c r="C3" s="201" t="s">
        <v>2</v>
      </c>
      <c r="D3" s="201" t="s">
        <v>3</v>
      </c>
      <c r="E3" s="201" t="s">
        <v>4</v>
      </c>
      <c r="F3" s="201" t="s">
        <v>5</v>
      </c>
    </row>
    <row r="4" s="98" customFormat="1" ht="30" customHeight="1" spans="1:7">
      <c r="A4" s="202" t="s">
        <v>6</v>
      </c>
      <c r="B4" s="203" t="s">
        <v>7</v>
      </c>
      <c r="C4" s="204">
        <v>12595.870037</v>
      </c>
      <c r="D4" s="204"/>
      <c r="E4" s="204"/>
      <c r="F4" s="204">
        <f>F5+F6+F7+F8+F9+F10+F11+F12+F13</f>
        <v>12595.870037</v>
      </c>
      <c r="G4" s="205"/>
    </row>
    <row r="5" s="185" customFormat="1" ht="30" customHeight="1" spans="1:6">
      <c r="A5" s="199">
        <v>1</v>
      </c>
      <c r="B5" s="200" t="s">
        <v>8</v>
      </c>
      <c r="C5" s="201">
        <v>1686.775728</v>
      </c>
      <c r="D5" s="201"/>
      <c r="E5" s="201"/>
      <c r="F5" s="201">
        <v>1686.775728</v>
      </c>
    </row>
    <row r="6" s="185" customFormat="1" ht="30" customHeight="1" spans="1:6">
      <c r="A6" s="199">
        <v>2</v>
      </c>
      <c r="B6" s="200" t="s">
        <v>9</v>
      </c>
      <c r="C6" s="201">
        <v>1145.629197</v>
      </c>
      <c r="D6" s="201"/>
      <c r="E6" s="201"/>
      <c r="F6" s="201">
        <v>1145.629197</v>
      </c>
    </row>
    <row r="7" s="185" customFormat="1" ht="30" customHeight="1" spans="1:6">
      <c r="A7" s="199">
        <v>3</v>
      </c>
      <c r="B7" s="200" t="s">
        <v>10</v>
      </c>
      <c r="C7" s="201">
        <v>2263.73098</v>
      </c>
      <c r="D7" s="201"/>
      <c r="E7" s="201"/>
      <c r="F7" s="201">
        <v>2263.73098</v>
      </c>
    </row>
    <row r="8" s="185" customFormat="1" ht="30" customHeight="1" spans="1:6">
      <c r="A8" s="199">
        <v>4</v>
      </c>
      <c r="B8" s="200" t="s">
        <v>11</v>
      </c>
      <c r="C8" s="201">
        <v>2862.737022</v>
      </c>
      <c r="D8" s="201"/>
      <c r="E8" s="201"/>
      <c r="F8" s="201">
        <v>2862.737022</v>
      </c>
    </row>
    <row r="9" s="185" customFormat="1" ht="30" customHeight="1" spans="1:6">
      <c r="A9" s="199">
        <v>5</v>
      </c>
      <c r="B9" s="200" t="s">
        <v>12</v>
      </c>
      <c r="C9" s="201">
        <v>1803.135511</v>
      </c>
      <c r="D9" s="201"/>
      <c r="E9" s="201"/>
      <c r="F9" s="201">
        <v>1803.135511</v>
      </c>
    </row>
    <row r="10" s="185" customFormat="1" ht="30" customHeight="1" spans="1:6">
      <c r="A10" s="199">
        <v>6</v>
      </c>
      <c r="B10" s="200" t="s">
        <v>13</v>
      </c>
      <c r="C10" s="201">
        <v>1234.134504</v>
      </c>
      <c r="D10" s="201"/>
      <c r="E10" s="201"/>
      <c r="F10" s="201">
        <v>1234.134504</v>
      </c>
    </row>
    <row r="11" s="185" customFormat="1" ht="30" customHeight="1" spans="1:6">
      <c r="A11" s="199">
        <v>7</v>
      </c>
      <c r="B11" s="200" t="s">
        <v>14</v>
      </c>
      <c r="C11" s="201">
        <v>899.695045</v>
      </c>
      <c r="D11" s="201"/>
      <c r="E11" s="201"/>
      <c r="F11" s="201">
        <v>899.695045</v>
      </c>
    </row>
    <row r="12" s="97" customFormat="1" ht="30" customHeight="1" spans="1:6">
      <c r="A12" s="199">
        <v>8</v>
      </c>
      <c r="B12" s="199" t="s">
        <v>15</v>
      </c>
      <c r="C12" s="201">
        <v>200</v>
      </c>
      <c r="D12" s="201"/>
      <c r="E12" s="201"/>
      <c r="F12" s="201">
        <v>200</v>
      </c>
    </row>
    <row r="13" s="97" customFormat="1" ht="30" customHeight="1" spans="1:6">
      <c r="A13" s="199">
        <v>9</v>
      </c>
      <c r="B13" s="199" t="s">
        <v>16</v>
      </c>
      <c r="C13" s="201">
        <v>500.03205</v>
      </c>
      <c r="D13" s="201"/>
      <c r="E13" s="201"/>
      <c r="F13" s="201">
        <v>500.03205</v>
      </c>
    </row>
    <row r="14" s="97" customFormat="1" ht="30" customHeight="1" spans="1:6">
      <c r="A14" s="203" t="s">
        <v>17</v>
      </c>
      <c r="B14" s="202" t="s">
        <v>18</v>
      </c>
      <c r="C14" s="201"/>
      <c r="D14" s="204">
        <f>F14</f>
        <v>978.244130294396</v>
      </c>
      <c r="E14" s="204"/>
      <c r="F14" s="204">
        <f>SUM(F15:F27)</f>
        <v>978.244130294396</v>
      </c>
    </row>
    <row r="15" s="97" customFormat="1" ht="30" customHeight="1" spans="1:6">
      <c r="A15" s="200">
        <v>1</v>
      </c>
      <c r="B15" s="200" t="s">
        <v>19</v>
      </c>
      <c r="C15" s="206"/>
      <c r="D15" s="201">
        <v>172.359924585449</v>
      </c>
      <c r="E15" s="201"/>
      <c r="F15" s="201">
        <v>172.359924585449</v>
      </c>
    </row>
    <row r="16" s="97" customFormat="1" ht="30" customHeight="1" spans="1:6">
      <c r="A16" s="200">
        <v>2</v>
      </c>
      <c r="B16" s="200" t="s">
        <v>20</v>
      </c>
      <c r="C16" s="206"/>
      <c r="D16" s="201">
        <v>19.22</v>
      </c>
      <c r="E16" s="201"/>
      <c r="F16" s="201">
        <v>19.22</v>
      </c>
    </row>
    <row r="17" s="97" customFormat="1" ht="30" customHeight="1" spans="1:6">
      <c r="A17" s="200">
        <v>3</v>
      </c>
      <c r="B17" s="200" t="s">
        <v>21</v>
      </c>
      <c r="C17" s="206"/>
      <c r="D17" s="201">
        <f>F17</f>
        <v>257.07</v>
      </c>
      <c r="E17" s="201"/>
      <c r="F17" s="201">
        <v>257.07</v>
      </c>
    </row>
    <row r="18" s="97" customFormat="1" ht="30" customHeight="1" spans="1:6">
      <c r="A18" s="200">
        <v>4</v>
      </c>
      <c r="B18" s="200" t="s">
        <v>22</v>
      </c>
      <c r="C18" s="206"/>
      <c r="D18" s="201">
        <v>23.84</v>
      </c>
      <c r="E18" s="201"/>
      <c r="F18" s="201">
        <v>23.84</v>
      </c>
    </row>
    <row r="19" s="97" customFormat="1" ht="30" customHeight="1" spans="1:6">
      <c r="A19" s="200">
        <v>5</v>
      </c>
      <c r="B19" s="200" t="s">
        <v>23</v>
      </c>
      <c r="C19" s="206"/>
      <c r="D19" s="201">
        <v>107.1</v>
      </c>
      <c r="E19" s="201"/>
      <c r="F19" s="201">
        <v>107.1</v>
      </c>
    </row>
    <row r="20" s="97" customFormat="1" ht="30" customHeight="1" spans="1:6">
      <c r="A20" s="200">
        <v>6</v>
      </c>
      <c r="B20" s="200" t="s">
        <v>24</v>
      </c>
      <c r="C20" s="206"/>
      <c r="D20" s="201">
        <v>39.6445355045825</v>
      </c>
      <c r="E20" s="201"/>
      <c r="F20" s="201">
        <v>39.6445355045825</v>
      </c>
    </row>
    <row r="21" s="97" customFormat="1" ht="30" customHeight="1" spans="1:6">
      <c r="A21" s="200">
        <v>7</v>
      </c>
      <c r="B21" s="200" t="s">
        <v>25</v>
      </c>
      <c r="C21" s="206"/>
      <c r="D21" s="201">
        <v>22.5</v>
      </c>
      <c r="E21" s="201"/>
      <c r="F21" s="201">
        <v>22.5</v>
      </c>
    </row>
    <row r="22" s="97" customFormat="1" ht="30" customHeight="1" spans="1:6">
      <c r="A22" s="200">
        <v>8</v>
      </c>
      <c r="B22" s="200" t="s">
        <v>26</v>
      </c>
      <c r="C22" s="206"/>
      <c r="D22" s="201">
        <v>125.95870037</v>
      </c>
      <c r="E22" s="201"/>
      <c r="F22" s="201">
        <v>125.95870037</v>
      </c>
    </row>
    <row r="23" s="97" customFormat="1" ht="30" customHeight="1" spans="1:6">
      <c r="A23" s="200">
        <v>9</v>
      </c>
      <c r="B23" s="200" t="s">
        <v>27</v>
      </c>
      <c r="C23" s="206"/>
      <c r="D23" s="201">
        <v>50.383480148</v>
      </c>
      <c r="E23" s="201"/>
      <c r="F23" s="201">
        <v>50.383480148</v>
      </c>
    </row>
    <row r="24" s="97" customFormat="1" ht="30" customHeight="1" spans="1:6">
      <c r="A24" s="200">
        <v>10</v>
      </c>
      <c r="B24" s="200" t="s">
        <v>28</v>
      </c>
      <c r="C24" s="206"/>
      <c r="D24" s="201">
        <v>75.22</v>
      </c>
      <c r="E24" s="201"/>
      <c r="F24" s="201">
        <v>75.22</v>
      </c>
    </row>
    <row r="25" s="97" customFormat="1" ht="30" customHeight="1" spans="1:6">
      <c r="A25" s="200">
        <v>11</v>
      </c>
      <c r="B25" s="200" t="s">
        <v>29</v>
      </c>
      <c r="C25" s="206"/>
      <c r="D25" s="201">
        <v>50.383480148</v>
      </c>
      <c r="E25" s="201"/>
      <c r="F25" s="201">
        <v>50.383480148</v>
      </c>
    </row>
    <row r="26" s="97" customFormat="1" ht="30" customHeight="1" spans="1:6">
      <c r="A26" s="200">
        <v>12</v>
      </c>
      <c r="B26" s="200" t="s">
        <v>30</v>
      </c>
      <c r="C26" s="206"/>
      <c r="D26" s="201">
        <v>27.7169395030311</v>
      </c>
      <c r="E26" s="201"/>
      <c r="F26" s="201">
        <v>27.7169395030311</v>
      </c>
    </row>
    <row r="27" s="97" customFormat="1" ht="30" customHeight="1" spans="1:6">
      <c r="A27" s="200">
        <v>14</v>
      </c>
      <c r="B27" s="200" t="s">
        <v>31</v>
      </c>
      <c r="C27" s="206"/>
      <c r="D27" s="201">
        <v>6.84707003533377</v>
      </c>
      <c r="E27" s="201"/>
      <c r="F27" s="201">
        <v>6.84707003533377</v>
      </c>
    </row>
    <row r="28" s="97" customFormat="1" ht="30" customHeight="1" spans="1:6">
      <c r="A28" s="203" t="s">
        <v>32</v>
      </c>
      <c r="B28" s="203" t="s">
        <v>4</v>
      </c>
      <c r="C28" s="207"/>
      <c r="D28" s="207"/>
      <c r="E28" s="204">
        <v>678.70570836472</v>
      </c>
      <c r="F28" s="204">
        <v>678.70570836472</v>
      </c>
    </row>
    <row r="29" s="97" customFormat="1" ht="30" customHeight="1" spans="1:6">
      <c r="A29" s="200" t="s">
        <v>33</v>
      </c>
      <c r="B29" s="203" t="s">
        <v>34</v>
      </c>
      <c r="C29" s="208"/>
      <c r="D29" s="208"/>
      <c r="E29" s="208"/>
      <c r="F29" s="208">
        <f>F4+F14+F28</f>
        <v>14252.8198756591</v>
      </c>
    </row>
    <row r="30" spans="6:6">
      <c r="F30" s="143"/>
    </row>
    <row r="31" spans="6:6">
      <c r="F31" s="143"/>
    </row>
  </sheetData>
  <mergeCells count="1">
    <mergeCell ref="A2:F2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P83"/>
  <sheetViews>
    <sheetView view="pageBreakPreview" zoomScaleNormal="115" workbookViewId="0">
      <pane ySplit="3" topLeftCell="A60" activePane="bottomLeft" state="frozen"/>
      <selection/>
      <selection pane="bottomLeft" activeCell="H11" sqref="H11"/>
    </sheetView>
  </sheetViews>
  <sheetFormatPr defaultColWidth="8.89166666666667" defaultRowHeight="14.25"/>
  <cols>
    <col min="1" max="1" width="7.375" style="99" customWidth="1"/>
    <col min="2" max="2" width="17.0916666666667" style="99" customWidth="1"/>
    <col min="3" max="3" width="11.725" style="99" customWidth="1"/>
    <col min="4" max="4" width="10.8166666666667" style="99" customWidth="1"/>
    <col min="5" max="5" width="8.5" style="99" customWidth="1"/>
    <col min="6" max="6" width="12.825" style="99"/>
    <col min="7" max="7" width="6.25833333333333" style="99" customWidth="1"/>
    <col min="8" max="8" width="10.7583333333333" style="99" customWidth="1"/>
    <col min="9" max="9" width="13.6833333333333" style="100"/>
    <col min="10" max="10" width="7.875" style="99" customWidth="1"/>
    <col min="11" max="11" width="21.5" style="101" customWidth="1"/>
    <col min="12" max="12" width="10.375" style="97" hidden="1" customWidth="1"/>
    <col min="13" max="13" width="13.5416666666667" style="97" hidden="1" customWidth="1"/>
    <col min="14" max="14" width="10.8166666666667" style="97" customWidth="1"/>
    <col min="15" max="16" width="12.8" style="97" customWidth="1"/>
    <col min="17" max="18" width="12.8" style="97"/>
    <col min="19" max="19" width="10.525" style="97"/>
    <col min="20" max="16384" width="8.89166666666667" style="97"/>
  </cols>
  <sheetData>
    <row r="1" s="97" customFormat="1" ht="21" spans="1:11">
      <c r="A1" s="102" t="s">
        <v>35</v>
      </c>
      <c r="B1" s="102"/>
      <c r="C1" s="102"/>
      <c r="D1" s="102"/>
      <c r="E1" s="102"/>
      <c r="F1" s="102"/>
      <c r="G1" s="102"/>
      <c r="H1" s="102"/>
      <c r="I1" s="118"/>
      <c r="J1" s="102"/>
      <c r="K1" s="102"/>
    </row>
    <row r="2" s="97" customFormat="1" spans="1:11">
      <c r="A2" s="103" t="s">
        <v>36</v>
      </c>
      <c r="B2" s="104" t="s">
        <v>37</v>
      </c>
      <c r="C2" s="105" t="s">
        <v>38</v>
      </c>
      <c r="D2" s="105"/>
      <c r="E2" s="105"/>
      <c r="F2" s="105"/>
      <c r="G2" s="105" t="s">
        <v>39</v>
      </c>
      <c r="H2" s="105"/>
      <c r="I2" s="105"/>
      <c r="J2" s="119" t="s">
        <v>40</v>
      </c>
      <c r="K2" s="120" t="s">
        <v>41</v>
      </c>
    </row>
    <row r="3" s="97" customFormat="1" ht="24" spans="1:11">
      <c r="A3" s="106"/>
      <c r="B3" s="107"/>
      <c r="C3" s="108" t="s">
        <v>42</v>
      </c>
      <c r="D3" s="108" t="s">
        <v>43</v>
      </c>
      <c r="E3" s="108" t="s">
        <v>44</v>
      </c>
      <c r="F3" s="108" t="s">
        <v>45</v>
      </c>
      <c r="G3" s="108" t="s">
        <v>46</v>
      </c>
      <c r="H3" s="108" t="s">
        <v>47</v>
      </c>
      <c r="I3" s="108" t="s">
        <v>48</v>
      </c>
      <c r="J3" s="121"/>
      <c r="K3" s="122"/>
    </row>
    <row r="4" s="97" customFormat="1" spans="1:11">
      <c r="A4" s="106"/>
      <c r="B4" s="107"/>
      <c r="C4" s="108"/>
      <c r="D4" s="108"/>
      <c r="E4" s="108"/>
      <c r="F4" s="108"/>
      <c r="G4" s="108"/>
      <c r="H4" s="108"/>
      <c r="I4" s="108"/>
      <c r="J4" s="121"/>
      <c r="K4" s="123"/>
    </row>
    <row r="5" s="97" customFormat="1" ht="23" customHeight="1" spans="1:16">
      <c r="A5" s="109" t="s">
        <v>6</v>
      </c>
      <c r="B5" s="110" t="s">
        <v>7</v>
      </c>
      <c r="C5" s="111">
        <f>C6+C13+C20+C28+C36+C44+C52+C59+C60</f>
        <v>10908.393184</v>
      </c>
      <c r="D5" s="111"/>
      <c r="E5" s="111"/>
      <c r="F5" s="111">
        <f t="shared" ref="F5:F60" si="0">SUM(C5:E5)</f>
        <v>10908.393184</v>
      </c>
      <c r="G5" s="111" t="s">
        <v>49</v>
      </c>
      <c r="H5" s="111">
        <f>H6+H13+H20+H28+H36+H44+H52</f>
        <v>28906</v>
      </c>
      <c r="I5" s="111">
        <f t="shared" ref="I5:I8" si="1">F5/H5*10000</f>
        <v>3773.7470366014</v>
      </c>
      <c r="J5" s="124">
        <f>F5/F81</f>
        <v>0.853058028006402</v>
      </c>
      <c r="K5" s="123"/>
      <c r="L5" s="97">
        <v>9198</v>
      </c>
      <c r="M5" s="97">
        <f>F5-L5</f>
        <v>1710.393184</v>
      </c>
      <c r="N5" s="97">
        <f>H5-H11-H18-H25-H33-H41-H49-H57</f>
        <v>19546</v>
      </c>
      <c r="P5" s="125"/>
    </row>
    <row r="6" s="185" customFormat="1" ht="23" customHeight="1" spans="1:13">
      <c r="A6" s="186" t="s">
        <v>50</v>
      </c>
      <c r="B6" s="187" t="s">
        <v>8</v>
      </c>
      <c r="C6" s="188">
        <f>C7+C8+C12</f>
        <v>1374.411618</v>
      </c>
      <c r="D6" s="188"/>
      <c r="E6" s="188"/>
      <c r="F6" s="188">
        <f t="shared" si="0"/>
        <v>1374.411618</v>
      </c>
      <c r="G6" s="188" t="s">
        <v>49</v>
      </c>
      <c r="H6" s="188">
        <f>H8</f>
        <v>6830</v>
      </c>
      <c r="I6" s="188">
        <f t="shared" si="1"/>
        <v>2012.31569253294</v>
      </c>
      <c r="J6" s="189"/>
      <c r="K6" s="190"/>
      <c r="M6" s="191">
        <f>M5/L5+1</f>
        <v>1.18595272711459</v>
      </c>
    </row>
    <row r="7" s="97" customFormat="1" ht="23" customHeight="1" spans="1:14">
      <c r="A7" s="112">
        <v>1</v>
      </c>
      <c r="B7" s="110" t="s">
        <v>51</v>
      </c>
      <c r="C7" s="111">
        <f>明细!C4/10000</f>
        <v>667.793512</v>
      </c>
      <c r="D7" s="111"/>
      <c r="E7" s="111"/>
      <c r="F7" s="111">
        <f t="shared" si="0"/>
        <v>667.793512</v>
      </c>
      <c r="G7" s="111" t="s">
        <v>52</v>
      </c>
      <c r="H7" s="111">
        <v>21835</v>
      </c>
      <c r="I7" s="128">
        <f t="shared" si="1"/>
        <v>305.836277536066</v>
      </c>
      <c r="J7" s="126"/>
      <c r="K7" s="192"/>
      <c r="L7" s="97">
        <f>H7+H14+H21+H29+H37+H45+H53</f>
        <v>101996.75</v>
      </c>
      <c r="N7" s="97">
        <f>9.188+6.632</f>
        <v>15.82</v>
      </c>
    </row>
    <row r="8" s="98" customFormat="1" ht="23" customHeight="1" spans="1:12">
      <c r="A8" s="112">
        <v>2</v>
      </c>
      <c r="B8" s="110" t="s">
        <v>53</v>
      </c>
      <c r="C8" s="111">
        <f>C9+C10+C11</f>
        <v>629.601426</v>
      </c>
      <c r="D8" s="111"/>
      <c r="E8" s="111"/>
      <c r="F8" s="111">
        <f t="shared" si="0"/>
        <v>629.601426</v>
      </c>
      <c r="G8" s="111" t="s">
        <v>49</v>
      </c>
      <c r="H8" s="111">
        <f>H9+H10+H11</f>
        <v>6830</v>
      </c>
      <c r="I8" s="128">
        <f t="shared" si="1"/>
        <v>921.81760761347</v>
      </c>
      <c r="J8" s="132"/>
      <c r="K8" s="192" t="s">
        <v>54</v>
      </c>
      <c r="L8" s="98">
        <f>H27+H35+H43+H51</f>
        <v>6925.4</v>
      </c>
    </row>
    <row r="9" s="97" customFormat="1" ht="23" customHeight="1" spans="1:14">
      <c r="A9" s="113">
        <v>2.1</v>
      </c>
      <c r="B9" s="116" t="s">
        <v>55</v>
      </c>
      <c r="C9" s="108">
        <f>明细!C6/10000</f>
        <v>503.786033</v>
      </c>
      <c r="D9" s="108"/>
      <c r="E9" s="108"/>
      <c r="F9" s="108">
        <f t="shared" si="0"/>
        <v>503.786033</v>
      </c>
      <c r="G9" s="108" t="s">
        <v>49</v>
      </c>
      <c r="H9" s="108">
        <v>4750</v>
      </c>
      <c r="I9" s="115">
        <f t="shared" ref="I9:I12" si="2">C9/H9*10000</f>
        <v>1060.60217473684</v>
      </c>
      <c r="J9" s="193"/>
      <c r="K9" s="192" t="s">
        <v>54</v>
      </c>
      <c r="N9" s="97">
        <f>H9+H16+H23+H31+H39+H47+H55</f>
        <v>15264</v>
      </c>
    </row>
    <row r="10" s="97" customFormat="1" ht="23" customHeight="1" spans="1:14">
      <c r="A10" s="113">
        <v>2.2</v>
      </c>
      <c r="B10" s="116" t="s">
        <v>56</v>
      </c>
      <c r="C10" s="108">
        <f>明细!C9/10000</f>
        <v>48.882343</v>
      </c>
      <c r="D10" s="108"/>
      <c r="E10" s="108"/>
      <c r="F10" s="108">
        <f t="shared" si="0"/>
        <v>48.882343</v>
      </c>
      <c r="G10" s="108" t="s">
        <v>49</v>
      </c>
      <c r="H10" s="108">
        <v>330</v>
      </c>
      <c r="I10" s="115">
        <f t="shared" si="2"/>
        <v>1481.28312121212</v>
      </c>
      <c r="J10" s="131"/>
      <c r="K10" s="192" t="s">
        <v>54</v>
      </c>
      <c r="N10" s="97">
        <f>H10+H17+H24+H32+H40+H48+H56</f>
        <v>6632</v>
      </c>
    </row>
    <row r="11" s="97" customFormat="1" ht="23" customHeight="1" spans="1:14">
      <c r="A11" s="113">
        <v>2.3</v>
      </c>
      <c r="B11" s="116" t="s">
        <v>57</v>
      </c>
      <c r="C11" s="108">
        <f>(明细!C7+明细!C8)/10000</f>
        <v>76.93305</v>
      </c>
      <c r="D11" s="108"/>
      <c r="E11" s="108"/>
      <c r="F11" s="108">
        <f t="shared" si="0"/>
        <v>76.93305</v>
      </c>
      <c r="G11" s="108" t="s">
        <v>49</v>
      </c>
      <c r="H11" s="108">
        <f>500+1250</f>
        <v>1750</v>
      </c>
      <c r="I11" s="115">
        <f t="shared" si="2"/>
        <v>439.617428571429</v>
      </c>
      <c r="J11" s="131"/>
      <c r="K11" s="192" t="s">
        <v>54</v>
      </c>
      <c r="N11" s="97">
        <f>H11+H18+H25+H33+H41+H49+H57-600</f>
        <v>8760</v>
      </c>
    </row>
    <row r="12" s="98" customFormat="1" ht="23" customHeight="1" spans="1:11">
      <c r="A12" s="112">
        <v>3</v>
      </c>
      <c r="B12" s="110" t="s">
        <v>58</v>
      </c>
      <c r="C12" s="111">
        <f>明细!C5/10000</f>
        <v>77.01668</v>
      </c>
      <c r="D12" s="111"/>
      <c r="E12" s="111"/>
      <c r="F12" s="111">
        <f t="shared" si="0"/>
        <v>77.01668</v>
      </c>
      <c r="G12" s="111" t="s">
        <v>59</v>
      </c>
      <c r="H12" s="111">
        <v>1</v>
      </c>
      <c r="I12" s="128">
        <f t="shared" si="2"/>
        <v>770166.8</v>
      </c>
      <c r="J12" s="132"/>
      <c r="K12" s="192" t="s">
        <v>54</v>
      </c>
    </row>
    <row r="13" s="185" customFormat="1" ht="23" customHeight="1" spans="1:11">
      <c r="A13" s="186" t="s">
        <v>60</v>
      </c>
      <c r="B13" s="187" t="s">
        <v>9</v>
      </c>
      <c r="C13" s="188">
        <f>C14+C15+C19</f>
        <v>1095.099008</v>
      </c>
      <c r="D13" s="188"/>
      <c r="E13" s="188"/>
      <c r="F13" s="188">
        <f t="shared" si="0"/>
        <v>1095.099008</v>
      </c>
      <c r="G13" s="188" t="s">
        <v>49</v>
      </c>
      <c r="H13" s="188">
        <f>H15</f>
        <v>3852</v>
      </c>
      <c r="I13" s="188">
        <f t="shared" ref="I13:I15" si="3">F13/H13*10000</f>
        <v>2842.93615784008</v>
      </c>
      <c r="J13" s="189"/>
      <c r="K13" s="194"/>
    </row>
    <row r="14" s="97" customFormat="1" ht="23" customHeight="1" spans="1:11">
      <c r="A14" s="112">
        <v>1</v>
      </c>
      <c r="B14" s="110" t="s">
        <v>51</v>
      </c>
      <c r="C14" s="111">
        <f>明细!C11/10000</f>
        <v>448.017998</v>
      </c>
      <c r="D14" s="111"/>
      <c r="E14" s="111"/>
      <c r="F14" s="111">
        <f t="shared" si="0"/>
        <v>448.017998</v>
      </c>
      <c r="G14" s="111" t="s">
        <v>52</v>
      </c>
      <c r="H14" s="111">
        <v>14421</v>
      </c>
      <c r="I14" s="128">
        <f t="shared" si="3"/>
        <v>310.670548505651</v>
      </c>
      <c r="J14" s="126"/>
      <c r="K14" s="192" t="s">
        <v>54</v>
      </c>
    </row>
    <row r="15" s="98" customFormat="1" ht="23" customHeight="1" spans="1:11">
      <c r="A15" s="112">
        <v>2</v>
      </c>
      <c r="B15" s="110" t="s">
        <v>53</v>
      </c>
      <c r="C15" s="111">
        <f>C16+C17+C18</f>
        <v>530.85941</v>
      </c>
      <c r="D15" s="111"/>
      <c r="E15" s="111"/>
      <c r="F15" s="111">
        <f t="shared" si="0"/>
        <v>530.85941</v>
      </c>
      <c r="G15" s="111" t="s">
        <v>49</v>
      </c>
      <c r="H15" s="111">
        <f>H16+H17+H18</f>
        <v>3852</v>
      </c>
      <c r="I15" s="128">
        <f t="shared" si="3"/>
        <v>1378.13969366563</v>
      </c>
      <c r="J15" s="132"/>
      <c r="K15" s="192" t="s">
        <v>54</v>
      </c>
    </row>
    <row r="16" s="97" customFormat="1" ht="23" customHeight="1" spans="1:11">
      <c r="A16" s="113">
        <v>2.1</v>
      </c>
      <c r="B16" s="116" t="s">
        <v>55</v>
      </c>
      <c r="C16" s="108">
        <f>明细!C13/10000</f>
        <v>2.828998</v>
      </c>
      <c r="D16" s="108"/>
      <c r="E16" s="108"/>
      <c r="F16" s="108">
        <f t="shared" si="0"/>
        <v>2.828998</v>
      </c>
      <c r="G16" s="108" t="s">
        <v>49</v>
      </c>
      <c r="H16" s="108">
        <v>28</v>
      </c>
      <c r="I16" s="115">
        <f t="shared" ref="I16:I19" si="4">C16/H16*10000</f>
        <v>1010.35642857143</v>
      </c>
      <c r="J16" s="193"/>
      <c r="K16" s="192" t="s">
        <v>54</v>
      </c>
    </row>
    <row r="17" s="97" customFormat="1" ht="23" customHeight="1" spans="1:11">
      <c r="A17" s="113">
        <v>2.2</v>
      </c>
      <c r="B17" s="116" t="s">
        <v>56</v>
      </c>
      <c r="C17" s="108">
        <f>明细!C16/10000</f>
        <v>476.854572</v>
      </c>
      <c r="D17" s="108"/>
      <c r="E17" s="108"/>
      <c r="F17" s="108">
        <f t="shared" si="0"/>
        <v>476.854572</v>
      </c>
      <c r="G17" s="108" t="s">
        <v>49</v>
      </c>
      <c r="H17" s="108">
        <v>2634</v>
      </c>
      <c r="I17" s="115">
        <f t="shared" si="4"/>
        <v>1810.38182232346</v>
      </c>
      <c r="J17" s="131"/>
      <c r="K17" s="192" t="s">
        <v>54</v>
      </c>
    </row>
    <row r="18" s="97" customFormat="1" ht="23" customHeight="1" spans="1:11">
      <c r="A18" s="113">
        <v>2.3</v>
      </c>
      <c r="B18" s="116" t="s">
        <v>57</v>
      </c>
      <c r="C18" s="108">
        <f>(明细!C14+明细!C15)/10000</f>
        <v>51.17584</v>
      </c>
      <c r="D18" s="108"/>
      <c r="E18" s="108"/>
      <c r="F18" s="108">
        <f t="shared" si="0"/>
        <v>51.17584</v>
      </c>
      <c r="G18" s="108" t="s">
        <v>49</v>
      </c>
      <c r="H18" s="108">
        <f>530+660</f>
        <v>1190</v>
      </c>
      <c r="I18" s="115">
        <f t="shared" si="4"/>
        <v>430.049075630252</v>
      </c>
      <c r="J18" s="131"/>
      <c r="K18" s="192" t="s">
        <v>54</v>
      </c>
    </row>
    <row r="19" s="98" customFormat="1" ht="23" customHeight="1" spans="1:11">
      <c r="A19" s="112">
        <v>3</v>
      </c>
      <c r="B19" s="110" t="s">
        <v>58</v>
      </c>
      <c r="C19" s="111">
        <f>明细!C12/10000</f>
        <v>116.2216</v>
      </c>
      <c r="D19" s="111"/>
      <c r="E19" s="111"/>
      <c r="F19" s="111">
        <f t="shared" si="0"/>
        <v>116.2216</v>
      </c>
      <c r="G19" s="111" t="s">
        <v>59</v>
      </c>
      <c r="H19" s="111">
        <v>1</v>
      </c>
      <c r="I19" s="128">
        <f t="shared" si="4"/>
        <v>1162216</v>
      </c>
      <c r="J19" s="132"/>
      <c r="K19" s="192" t="s">
        <v>54</v>
      </c>
    </row>
    <row r="20" s="185" customFormat="1" ht="23" customHeight="1" spans="1:11">
      <c r="A20" s="186" t="s">
        <v>61</v>
      </c>
      <c r="B20" s="187" t="s">
        <v>10</v>
      </c>
      <c r="C20" s="188">
        <f>C21+C22+C26+C27</f>
        <v>1926.671054</v>
      </c>
      <c r="D20" s="188"/>
      <c r="E20" s="188"/>
      <c r="F20" s="188">
        <f t="shared" si="0"/>
        <v>1926.671054</v>
      </c>
      <c r="G20" s="188" t="s">
        <v>49</v>
      </c>
      <c r="H20" s="188">
        <f>H22</f>
        <v>4976</v>
      </c>
      <c r="I20" s="188">
        <f t="shared" ref="I20:I24" si="5">F20/H20*10000</f>
        <v>3871.92735932476</v>
      </c>
      <c r="J20" s="189"/>
      <c r="K20" s="194" t="s">
        <v>62</v>
      </c>
    </row>
    <row r="21" s="97" customFormat="1" ht="23" customHeight="1" spans="1:11">
      <c r="A21" s="112">
        <v>1</v>
      </c>
      <c r="B21" s="110" t="s">
        <v>51</v>
      </c>
      <c r="C21" s="111">
        <f>明细!C18/10000</f>
        <v>804.333569</v>
      </c>
      <c r="D21" s="111"/>
      <c r="E21" s="111"/>
      <c r="F21" s="111">
        <f t="shared" si="0"/>
        <v>804.333569</v>
      </c>
      <c r="G21" s="111" t="s">
        <v>52</v>
      </c>
      <c r="H21" s="111">
        <v>9372</v>
      </c>
      <c r="I21" s="128">
        <f t="shared" si="5"/>
        <v>858.230440674349</v>
      </c>
      <c r="J21" s="126"/>
      <c r="K21" s="192" t="s">
        <v>54</v>
      </c>
    </row>
    <row r="22" s="98" customFormat="1" ht="23" customHeight="1" spans="1:11">
      <c r="A22" s="112">
        <v>2</v>
      </c>
      <c r="B22" s="110" t="s">
        <v>53</v>
      </c>
      <c r="C22" s="111">
        <f>C23+C24+C25</f>
        <v>694.535482</v>
      </c>
      <c r="D22" s="111"/>
      <c r="E22" s="111"/>
      <c r="F22" s="111">
        <f t="shared" si="0"/>
        <v>694.535482</v>
      </c>
      <c r="G22" s="111" t="s">
        <v>49</v>
      </c>
      <c r="H22" s="111">
        <f>H23+H24+H25</f>
        <v>4976</v>
      </c>
      <c r="I22" s="128">
        <f t="shared" si="5"/>
        <v>1395.77066318328</v>
      </c>
      <c r="J22" s="132"/>
      <c r="K22" s="192" t="s">
        <v>54</v>
      </c>
    </row>
    <row r="23" s="97" customFormat="1" ht="23" customHeight="1" spans="1:11">
      <c r="A23" s="113">
        <v>2.1</v>
      </c>
      <c r="B23" s="116" t="s">
        <v>55</v>
      </c>
      <c r="C23" s="108">
        <f>明细!C21/10000</f>
        <v>612.883781</v>
      </c>
      <c r="D23" s="108"/>
      <c r="E23" s="108"/>
      <c r="F23" s="108">
        <f t="shared" si="0"/>
        <v>612.883781</v>
      </c>
      <c r="G23" s="108" t="s">
        <v>49</v>
      </c>
      <c r="H23" s="108">
        <v>3480</v>
      </c>
      <c r="I23" s="115">
        <f t="shared" si="5"/>
        <v>1761.16029022989</v>
      </c>
      <c r="J23" s="193"/>
      <c r="K23" s="192" t="s">
        <v>54</v>
      </c>
    </row>
    <row r="24" s="97" customFormat="1" ht="23" customHeight="1" spans="1:11">
      <c r="A24" s="113">
        <v>2.2</v>
      </c>
      <c r="B24" s="116" t="s">
        <v>56</v>
      </c>
      <c r="C24" s="108">
        <f>明细!C24/10000</f>
        <v>4.718651</v>
      </c>
      <c r="D24" s="108"/>
      <c r="E24" s="108"/>
      <c r="F24" s="108">
        <f t="shared" si="0"/>
        <v>4.718651</v>
      </c>
      <c r="G24" s="108" t="s">
        <v>49</v>
      </c>
      <c r="H24" s="108">
        <v>16</v>
      </c>
      <c r="I24" s="115">
        <f t="shared" si="5"/>
        <v>2949.156875</v>
      </c>
      <c r="J24" s="131"/>
      <c r="K24" s="192" t="s">
        <v>54</v>
      </c>
    </row>
    <row r="25" s="97" customFormat="1" ht="23" customHeight="1" spans="1:11">
      <c r="A25" s="113">
        <v>2.3</v>
      </c>
      <c r="B25" s="116" t="s">
        <v>57</v>
      </c>
      <c r="C25" s="108">
        <f>(明细!C22+明细!C23)/10000</f>
        <v>76.93305</v>
      </c>
      <c r="D25" s="108"/>
      <c r="E25" s="108"/>
      <c r="F25" s="108">
        <f t="shared" si="0"/>
        <v>76.93305</v>
      </c>
      <c r="G25" s="108" t="s">
        <v>49</v>
      </c>
      <c r="H25" s="108">
        <f>600+880</f>
        <v>1480</v>
      </c>
      <c r="I25" s="115">
        <f t="shared" ref="I25:I27" si="6">C25/H25*10000</f>
        <v>519.817905405405</v>
      </c>
      <c r="J25" s="131"/>
      <c r="K25" s="192" t="s">
        <v>54</v>
      </c>
    </row>
    <row r="26" s="98" customFormat="1" ht="23" customHeight="1" spans="1:11">
      <c r="A26" s="112">
        <v>3</v>
      </c>
      <c r="B26" s="110" t="s">
        <v>58</v>
      </c>
      <c r="C26" s="111">
        <f>明细!C20/10000</f>
        <v>96.0978</v>
      </c>
      <c r="D26" s="111"/>
      <c r="E26" s="111"/>
      <c r="F26" s="111">
        <f t="shared" si="0"/>
        <v>96.0978</v>
      </c>
      <c r="G26" s="111" t="s">
        <v>59</v>
      </c>
      <c r="H26" s="111">
        <v>1</v>
      </c>
      <c r="I26" s="128">
        <f t="shared" si="6"/>
        <v>960978</v>
      </c>
      <c r="J26" s="132"/>
      <c r="K26" s="192" t="s">
        <v>54</v>
      </c>
    </row>
    <row r="27" s="97" customFormat="1" ht="23" customHeight="1" spans="1:11">
      <c r="A27" s="112">
        <v>4</v>
      </c>
      <c r="B27" s="110" t="s">
        <v>63</v>
      </c>
      <c r="C27" s="111">
        <f>明细!C19/10000</f>
        <v>331.704203</v>
      </c>
      <c r="D27" s="111"/>
      <c r="E27" s="111"/>
      <c r="F27" s="111">
        <f t="shared" si="0"/>
        <v>331.704203</v>
      </c>
      <c r="G27" s="111" t="s">
        <v>52</v>
      </c>
      <c r="H27" s="111">
        <v>1828.4</v>
      </c>
      <c r="I27" s="128">
        <f t="shared" si="6"/>
        <v>1814.17743929118</v>
      </c>
      <c r="J27" s="126"/>
      <c r="K27" s="192" t="s">
        <v>54</v>
      </c>
    </row>
    <row r="28" s="185" customFormat="1" ht="23" customHeight="1" spans="1:11">
      <c r="A28" s="186" t="s">
        <v>64</v>
      </c>
      <c r="B28" s="187" t="s">
        <v>11</v>
      </c>
      <c r="C28" s="188">
        <f>C29+C30+C34+C35</f>
        <v>2464.446791</v>
      </c>
      <c r="D28" s="188"/>
      <c r="E28" s="188"/>
      <c r="F28" s="188">
        <f t="shared" si="0"/>
        <v>2464.446791</v>
      </c>
      <c r="G28" s="188" t="s">
        <v>49</v>
      </c>
      <c r="H28" s="188">
        <f>H30</f>
        <v>4192</v>
      </c>
      <c r="I28" s="188">
        <f t="shared" ref="I28:I32" si="7">F28/H28*10000</f>
        <v>5878.92841364504</v>
      </c>
      <c r="J28" s="189"/>
      <c r="K28" s="194" t="s">
        <v>62</v>
      </c>
    </row>
    <row r="29" s="97" customFormat="1" ht="23" customHeight="1" spans="1:11">
      <c r="A29" s="112">
        <v>1</v>
      </c>
      <c r="B29" s="110" t="s">
        <v>51</v>
      </c>
      <c r="C29" s="111">
        <f>明细!C26/10000</f>
        <v>1185.73257</v>
      </c>
      <c r="D29" s="111"/>
      <c r="E29" s="111"/>
      <c r="F29" s="111">
        <f t="shared" si="0"/>
        <v>1185.73257</v>
      </c>
      <c r="G29" s="111" t="s">
        <v>52</v>
      </c>
      <c r="H29" s="111">
        <v>27317.75</v>
      </c>
      <c r="I29" s="128">
        <f t="shared" si="7"/>
        <v>434.052061388658</v>
      </c>
      <c r="J29" s="126"/>
      <c r="K29" s="192" t="s">
        <v>54</v>
      </c>
    </row>
    <row r="30" s="98" customFormat="1" ht="23" customHeight="1" spans="1:11">
      <c r="A30" s="112">
        <v>2</v>
      </c>
      <c r="B30" s="110" t="s">
        <v>53</v>
      </c>
      <c r="C30" s="111">
        <f>C31+C32+C33</f>
        <v>958.705055</v>
      </c>
      <c r="D30" s="111"/>
      <c r="E30" s="111"/>
      <c r="F30" s="111">
        <f t="shared" si="0"/>
        <v>958.705055</v>
      </c>
      <c r="G30" s="111" t="s">
        <v>49</v>
      </c>
      <c r="H30" s="111">
        <f>H31+H32</f>
        <v>4192</v>
      </c>
      <c r="I30" s="128">
        <f t="shared" si="7"/>
        <v>2286.9872495229</v>
      </c>
      <c r="J30" s="132"/>
      <c r="K30" s="192" t="s">
        <v>54</v>
      </c>
    </row>
    <row r="31" s="97" customFormat="1" ht="23" customHeight="1" spans="1:11">
      <c r="A31" s="113">
        <v>2.1</v>
      </c>
      <c r="B31" s="116" t="s">
        <v>55</v>
      </c>
      <c r="C31" s="108">
        <f>明细!C29/10000</f>
        <v>865.335397</v>
      </c>
      <c r="D31" s="108"/>
      <c r="E31" s="108"/>
      <c r="F31" s="108">
        <f t="shared" si="0"/>
        <v>865.335397</v>
      </c>
      <c r="G31" s="108" t="s">
        <v>49</v>
      </c>
      <c r="H31" s="108">
        <v>4131</v>
      </c>
      <c r="I31" s="115">
        <f t="shared" si="7"/>
        <v>2094.73589203583</v>
      </c>
      <c r="J31" s="193"/>
      <c r="K31" s="192" t="s">
        <v>54</v>
      </c>
    </row>
    <row r="32" s="97" customFormat="1" ht="23" customHeight="1" spans="1:11">
      <c r="A32" s="113">
        <v>2.2</v>
      </c>
      <c r="B32" s="116" t="s">
        <v>56</v>
      </c>
      <c r="C32" s="108">
        <f>明细!C32/10000</f>
        <v>16.436608</v>
      </c>
      <c r="D32" s="108"/>
      <c r="E32" s="108"/>
      <c r="F32" s="108">
        <f t="shared" si="0"/>
        <v>16.436608</v>
      </c>
      <c r="G32" s="108" t="s">
        <v>49</v>
      </c>
      <c r="H32" s="108">
        <v>61</v>
      </c>
      <c r="I32" s="115">
        <f t="shared" si="7"/>
        <v>2694.52590163934</v>
      </c>
      <c r="J32" s="131"/>
      <c r="K32" s="192" t="s">
        <v>54</v>
      </c>
    </row>
    <row r="33" s="97" customFormat="1" ht="23" customHeight="1" spans="1:11">
      <c r="A33" s="113">
        <v>2.3</v>
      </c>
      <c r="B33" s="116" t="s">
        <v>57</v>
      </c>
      <c r="C33" s="108">
        <f>(明细!C30+明细!C31)/10000</f>
        <v>76.93305</v>
      </c>
      <c r="D33" s="108"/>
      <c r="E33" s="108"/>
      <c r="F33" s="108">
        <f t="shared" si="0"/>
        <v>76.93305</v>
      </c>
      <c r="G33" s="108" t="s">
        <v>49</v>
      </c>
      <c r="H33" s="108">
        <f>1200+1150</f>
        <v>2350</v>
      </c>
      <c r="I33" s="115">
        <f t="shared" ref="I33:I35" si="8">C33/H33*10000</f>
        <v>327.374680851064</v>
      </c>
      <c r="J33" s="131"/>
      <c r="K33" s="192" t="s">
        <v>54</v>
      </c>
    </row>
    <row r="34" s="98" customFormat="1" ht="23" customHeight="1" spans="1:11">
      <c r="A34" s="112">
        <v>3</v>
      </c>
      <c r="B34" s="110" t="s">
        <v>58</v>
      </c>
      <c r="C34" s="111">
        <f>明细!C28/10000</f>
        <v>147.9327</v>
      </c>
      <c r="D34" s="111"/>
      <c r="E34" s="111"/>
      <c r="F34" s="111">
        <f t="shared" si="0"/>
        <v>147.9327</v>
      </c>
      <c r="G34" s="111" t="s">
        <v>59</v>
      </c>
      <c r="H34" s="111">
        <v>1</v>
      </c>
      <c r="I34" s="128">
        <f t="shared" si="8"/>
        <v>1479327</v>
      </c>
      <c r="J34" s="132"/>
      <c r="K34" s="192" t="s">
        <v>54</v>
      </c>
    </row>
    <row r="35" s="97" customFormat="1" ht="23" customHeight="1" spans="1:11">
      <c r="A35" s="112">
        <v>4</v>
      </c>
      <c r="B35" s="110" t="s">
        <v>65</v>
      </c>
      <c r="C35" s="111">
        <f>明细!C27/10000</f>
        <v>172.076466</v>
      </c>
      <c r="D35" s="111"/>
      <c r="E35" s="111"/>
      <c r="F35" s="111">
        <f t="shared" si="0"/>
        <v>172.076466</v>
      </c>
      <c r="G35" s="111" t="s">
        <v>52</v>
      </c>
      <c r="H35" s="111">
        <v>55</v>
      </c>
      <c r="I35" s="128">
        <f t="shared" si="8"/>
        <v>31286.6301818182</v>
      </c>
      <c r="J35" s="126"/>
      <c r="K35" s="192" t="s">
        <v>54</v>
      </c>
    </row>
    <row r="36" s="185" customFormat="1" ht="23" customHeight="1" spans="1:11">
      <c r="A36" s="186" t="s">
        <v>66</v>
      </c>
      <c r="B36" s="187" t="s">
        <v>12</v>
      </c>
      <c r="C36" s="188">
        <f>C37+C38+C42+C43</f>
        <v>1555.570653</v>
      </c>
      <c r="D36" s="188"/>
      <c r="E36" s="188"/>
      <c r="F36" s="188">
        <f t="shared" si="0"/>
        <v>1555.570653</v>
      </c>
      <c r="G36" s="188" t="s">
        <v>49</v>
      </c>
      <c r="H36" s="188">
        <f>H38</f>
        <v>3845</v>
      </c>
      <c r="I36" s="188">
        <f t="shared" ref="I36:I40" si="9">F36/H36*10000</f>
        <v>4045.69740702211</v>
      </c>
      <c r="J36" s="189"/>
      <c r="K36" s="194" t="s">
        <v>62</v>
      </c>
    </row>
    <row r="37" s="97" customFormat="1" ht="23" customHeight="1" spans="1:11">
      <c r="A37" s="112">
        <v>1</v>
      </c>
      <c r="B37" s="110" t="s">
        <v>51</v>
      </c>
      <c r="C37" s="111">
        <f>明细!C34/10000</f>
        <v>545.453444</v>
      </c>
      <c r="D37" s="111"/>
      <c r="E37" s="111"/>
      <c r="F37" s="111">
        <f t="shared" si="0"/>
        <v>545.453444</v>
      </c>
      <c r="G37" s="111" t="s">
        <v>52</v>
      </c>
      <c r="H37" s="111">
        <v>13442</v>
      </c>
      <c r="I37" s="128">
        <f t="shared" si="9"/>
        <v>405.782951941675</v>
      </c>
      <c r="J37" s="126"/>
      <c r="K37" s="192" t="s">
        <v>54</v>
      </c>
    </row>
    <row r="38" s="98" customFormat="1" ht="23" customHeight="1" spans="1:11">
      <c r="A38" s="112">
        <v>2</v>
      </c>
      <c r="B38" s="110" t="s">
        <v>53</v>
      </c>
      <c r="C38" s="111">
        <f>C39+C40+C41</f>
        <v>539.046441</v>
      </c>
      <c r="D38" s="111"/>
      <c r="E38" s="111"/>
      <c r="F38" s="111">
        <f t="shared" si="0"/>
        <v>539.046441</v>
      </c>
      <c r="G38" s="111" t="s">
        <v>49</v>
      </c>
      <c r="H38" s="111">
        <f>H39+H40+H41</f>
        <v>3845</v>
      </c>
      <c r="I38" s="128">
        <f t="shared" si="9"/>
        <v>1401.9413289987</v>
      </c>
      <c r="J38" s="132"/>
      <c r="K38" s="192" t="s">
        <v>54</v>
      </c>
    </row>
    <row r="39" s="97" customFormat="1" ht="23" customHeight="1" spans="1:11">
      <c r="A39" s="113">
        <v>2.1</v>
      </c>
      <c r="B39" s="116" t="s">
        <v>55</v>
      </c>
      <c r="C39" s="108">
        <f>明细!C37/10000</f>
        <v>184.518542</v>
      </c>
      <c r="D39" s="108"/>
      <c r="E39" s="108"/>
      <c r="F39" s="108">
        <f t="shared" si="0"/>
        <v>184.518542</v>
      </c>
      <c r="G39" s="108" t="s">
        <v>49</v>
      </c>
      <c r="H39" s="108">
        <v>1174</v>
      </c>
      <c r="I39" s="115">
        <f t="shared" si="9"/>
        <v>1571.70819420784</v>
      </c>
      <c r="J39" s="193"/>
      <c r="K39" s="192" t="s">
        <v>54</v>
      </c>
    </row>
    <row r="40" s="97" customFormat="1" ht="23" customHeight="1" spans="1:11">
      <c r="A40" s="113">
        <v>2.2</v>
      </c>
      <c r="B40" s="116" t="s">
        <v>56</v>
      </c>
      <c r="C40" s="108">
        <f>明细!C40/10000</f>
        <v>277.594849</v>
      </c>
      <c r="D40" s="108"/>
      <c r="E40" s="108"/>
      <c r="F40" s="108">
        <f t="shared" si="0"/>
        <v>277.594849</v>
      </c>
      <c r="G40" s="108" t="s">
        <v>49</v>
      </c>
      <c r="H40" s="108">
        <v>1631</v>
      </c>
      <c r="I40" s="108">
        <f t="shared" si="9"/>
        <v>1701.9917167382</v>
      </c>
      <c r="J40" s="131"/>
      <c r="K40" s="192" t="s">
        <v>54</v>
      </c>
    </row>
    <row r="41" s="97" customFormat="1" ht="23" customHeight="1" spans="1:11">
      <c r="A41" s="113">
        <v>2.3</v>
      </c>
      <c r="B41" s="116" t="s">
        <v>57</v>
      </c>
      <c r="C41" s="108">
        <f>(明细!C38+明细!C39)/10000</f>
        <v>76.93305</v>
      </c>
      <c r="D41" s="108"/>
      <c r="E41" s="108"/>
      <c r="F41" s="108">
        <f t="shared" si="0"/>
        <v>76.93305</v>
      </c>
      <c r="G41" s="108" t="s">
        <v>49</v>
      </c>
      <c r="H41" s="108">
        <f>260+780</f>
        <v>1040</v>
      </c>
      <c r="I41" s="115">
        <f t="shared" ref="I41:I43" si="10">C41/H41*10000</f>
        <v>739.740865384615</v>
      </c>
      <c r="J41" s="131"/>
      <c r="K41" s="192" t="s">
        <v>54</v>
      </c>
    </row>
    <row r="42" s="98" customFormat="1" ht="23" customHeight="1" spans="1:11">
      <c r="A42" s="112">
        <v>3</v>
      </c>
      <c r="B42" s="110" t="s">
        <v>58</v>
      </c>
      <c r="C42" s="111">
        <f>明细!C36/10000</f>
        <v>76.20613</v>
      </c>
      <c r="D42" s="111"/>
      <c r="E42" s="111"/>
      <c r="F42" s="111">
        <f t="shared" si="0"/>
        <v>76.20613</v>
      </c>
      <c r="G42" s="111" t="s">
        <v>59</v>
      </c>
      <c r="H42" s="111">
        <v>1</v>
      </c>
      <c r="I42" s="128">
        <f t="shared" si="10"/>
        <v>762061.3</v>
      </c>
      <c r="J42" s="132"/>
      <c r="K42" s="192" t="s">
        <v>54</v>
      </c>
    </row>
    <row r="43" s="97" customFormat="1" ht="23" customHeight="1" spans="1:11">
      <c r="A43" s="112">
        <v>4</v>
      </c>
      <c r="B43" s="110" t="s">
        <v>65</v>
      </c>
      <c r="C43" s="111">
        <f>明细!C35/10000</f>
        <v>394.864638</v>
      </c>
      <c r="D43" s="111"/>
      <c r="E43" s="111"/>
      <c r="F43" s="111">
        <f t="shared" si="0"/>
        <v>394.864638</v>
      </c>
      <c r="G43" s="111" t="s">
        <v>52</v>
      </c>
      <c r="H43" s="111">
        <v>4095</v>
      </c>
      <c r="I43" s="128">
        <f t="shared" si="10"/>
        <v>964.26041025641</v>
      </c>
      <c r="J43" s="126"/>
      <c r="K43" s="192" t="s">
        <v>54</v>
      </c>
    </row>
    <row r="44" s="185" customFormat="1" ht="23" customHeight="1" spans="1:11">
      <c r="A44" s="186" t="s">
        <v>67</v>
      </c>
      <c r="B44" s="187" t="s">
        <v>13</v>
      </c>
      <c r="C44" s="188">
        <f>C45+C46+C50+C51</f>
        <v>1138.705887</v>
      </c>
      <c r="D44" s="188"/>
      <c r="E44" s="188"/>
      <c r="F44" s="188">
        <f t="shared" si="0"/>
        <v>1138.705887</v>
      </c>
      <c r="G44" s="188" t="s">
        <v>49</v>
      </c>
      <c r="H44" s="188">
        <f>H46</f>
        <v>2806</v>
      </c>
      <c r="I44" s="188">
        <f t="shared" ref="I44:I48" si="11">F44/H44*10000</f>
        <v>4058.110787598</v>
      </c>
      <c r="J44" s="189"/>
      <c r="K44" s="194" t="s">
        <v>62</v>
      </c>
    </row>
    <row r="45" s="97" customFormat="1" ht="23" customHeight="1" spans="1:11">
      <c r="A45" s="112">
        <v>1</v>
      </c>
      <c r="B45" s="110" t="s">
        <v>51</v>
      </c>
      <c r="C45" s="111">
        <f>明细!C42/10000</f>
        <v>546.697207</v>
      </c>
      <c r="D45" s="111"/>
      <c r="E45" s="111"/>
      <c r="F45" s="111">
        <f t="shared" si="0"/>
        <v>546.697207</v>
      </c>
      <c r="G45" s="111" t="s">
        <v>52</v>
      </c>
      <c r="H45" s="111">
        <v>8272</v>
      </c>
      <c r="I45" s="128">
        <f t="shared" si="11"/>
        <v>660.900878868472</v>
      </c>
      <c r="J45" s="126"/>
      <c r="K45" s="192" t="s">
        <v>54</v>
      </c>
    </row>
    <row r="46" s="98" customFormat="1" ht="23" customHeight="1" spans="1:11">
      <c r="A46" s="112">
        <v>2</v>
      </c>
      <c r="B46" s="110" t="s">
        <v>53</v>
      </c>
      <c r="C46" s="111">
        <f>C47+C48+C49</f>
        <v>418.070338</v>
      </c>
      <c r="D46" s="111"/>
      <c r="E46" s="111"/>
      <c r="F46" s="111">
        <f t="shared" si="0"/>
        <v>418.070338</v>
      </c>
      <c r="G46" s="111" t="s">
        <v>49</v>
      </c>
      <c r="H46" s="111">
        <f>H47+H48+H49</f>
        <v>2806</v>
      </c>
      <c r="I46" s="128">
        <f t="shared" si="11"/>
        <v>1489.91567355666</v>
      </c>
      <c r="J46" s="132"/>
      <c r="K46" s="192" t="s">
        <v>54</v>
      </c>
    </row>
    <row r="47" s="97" customFormat="1" ht="23" customHeight="1" spans="1:11">
      <c r="A47" s="113">
        <v>2.1</v>
      </c>
      <c r="B47" s="116" t="s">
        <v>55</v>
      </c>
      <c r="C47" s="108">
        <f>明细!C45/10000</f>
        <v>173.345688</v>
      </c>
      <c r="D47" s="108"/>
      <c r="E47" s="108"/>
      <c r="F47" s="108">
        <f t="shared" si="0"/>
        <v>173.345688</v>
      </c>
      <c r="G47" s="108" t="s">
        <v>49</v>
      </c>
      <c r="H47" s="108">
        <v>915</v>
      </c>
      <c r="I47" s="115">
        <f t="shared" si="11"/>
        <v>1894.48839344262</v>
      </c>
      <c r="J47" s="193"/>
      <c r="K47" s="192" t="s">
        <v>54</v>
      </c>
    </row>
    <row r="48" s="97" customFormat="1" ht="23" customHeight="1" spans="1:11">
      <c r="A48" s="113">
        <v>2.2</v>
      </c>
      <c r="B48" s="116" t="s">
        <v>56</v>
      </c>
      <c r="C48" s="108">
        <f>明细!C48/10000</f>
        <v>167.7916</v>
      </c>
      <c r="D48" s="108"/>
      <c r="E48" s="108"/>
      <c r="F48" s="108">
        <f t="shared" si="0"/>
        <v>167.7916</v>
      </c>
      <c r="G48" s="108" t="s">
        <v>49</v>
      </c>
      <c r="H48" s="108">
        <v>891</v>
      </c>
      <c r="I48" s="115">
        <f t="shared" si="11"/>
        <v>1883.18294051627</v>
      </c>
      <c r="J48" s="131"/>
      <c r="K48" s="192" t="s">
        <v>54</v>
      </c>
    </row>
    <row r="49" s="97" customFormat="1" ht="23" customHeight="1" spans="1:11">
      <c r="A49" s="113">
        <v>2.3</v>
      </c>
      <c r="B49" s="116" t="s">
        <v>57</v>
      </c>
      <c r="C49" s="108">
        <f>(明细!C46+明细!C47)/10000</f>
        <v>76.93305</v>
      </c>
      <c r="D49" s="108"/>
      <c r="E49" s="108"/>
      <c r="F49" s="108">
        <f t="shared" si="0"/>
        <v>76.93305</v>
      </c>
      <c r="G49" s="108" t="s">
        <v>49</v>
      </c>
      <c r="H49" s="108">
        <f>600+400</f>
        <v>1000</v>
      </c>
      <c r="I49" s="115">
        <f t="shared" ref="I49:I51" si="12">C49/H49*10000</f>
        <v>769.3305</v>
      </c>
      <c r="J49" s="131"/>
      <c r="K49" s="192" t="s">
        <v>54</v>
      </c>
    </row>
    <row r="50" s="98" customFormat="1" ht="23" customHeight="1" spans="1:11">
      <c r="A50" s="112">
        <v>3</v>
      </c>
      <c r="B50" s="110" t="s">
        <v>58</v>
      </c>
      <c r="C50" s="111">
        <f>明细!C44/10000</f>
        <v>51.06837</v>
      </c>
      <c r="D50" s="111"/>
      <c r="E50" s="111"/>
      <c r="F50" s="111">
        <f t="shared" si="0"/>
        <v>51.06837</v>
      </c>
      <c r="G50" s="111" t="s">
        <v>59</v>
      </c>
      <c r="H50" s="111">
        <v>1</v>
      </c>
      <c r="I50" s="128">
        <f t="shared" si="12"/>
        <v>510683.7</v>
      </c>
      <c r="J50" s="132"/>
      <c r="K50" s="192" t="s">
        <v>54</v>
      </c>
    </row>
    <row r="51" s="97" customFormat="1" ht="23" customHeight="1" spans="1:11">
      <c r="A51" s="112">
        <v>4</v>
      </c>
      <c r="B51" s="110" t="s">
        <v>65</v>
      </c>
      <c r="C51" s="111">
        <f>明细!C43/10000</f>
        <v>122.869972</v>
      </c>
      <c r="D51" s="111"/>
      <c r="E51" s="111"/>
      <c r="F51" s="111">
        <f t="shared" si="0"/>
        <v>122.869972</v>
      </c>
      <c r="G51" s="111" t="s">
        <v>52</v>
      </c>
      <c r="H51" s="111">
        <v>947</v>
      </c>
      <c r="I51" s="128">
        <f t="shared" si="12"/>
        <v>1297.46538542767</v>
      </c>
      <c r="J51" s="126"/>
      <c r="K51" s="192" t="s">
        <v>54</v>
      </c>
    </row>
    <row r="52" s="185" customFormat="1" ht="23" customHeight="1" spans="1:11">
      <c r="A52" s="186" t="s">
        <v>68</v>
      </c>
      <c r="B52" s="187" t="s">
        <v>14</v>
      </c>
      <c r="C52" s="188">
        <f>C53+C54+C58</f>
        <v>821.346173</v>
      </c>
      <c r="D52" s="188"/>
      <c r="E52" s="188"/>
      <c r="F52" s="188">
        <f t="shared" si="0"/>
        <v>821.346173</v>
      </c>
      <c r="G52" s="188" t="s">
        <v>49</v>
      </c>
      <c r="H52" s="188">
        <f>H54</f>
        <v>2405</v>
      </c>
      <c r="I52" s="188">
        <f t="shared" ref="I52:I56" si="13">F52/H52*10000</f>
        <v>3415.1608024948</v>
      </c>
      <c r="J52" s="189"/>
      <c r="K52" s="194"/>
    </row>
    <row r="53" s="97" customFormat="1" ht="23" customHeight="1" spans="1:11">
      <c r="A53" s="112">
        <v>1</v>
      </c>
      <c r="B53" s="110" t="s">
        <v>51</v>
      </c>
      <c r="C53" s="111">
        <f>明细!C50/10000</f>
        <v>463.766313</v>
      </c>
      <c r="D53" s="111"/>
      <c r="E53" s="111"/>
      <c r="F53" s="111">
        <f t="shared" si="0"/>
        <v>463.766313</v>
      </c>
      <c r="G53" s="111" t="s">
        <v>52</v>
      </c>
      <c r="H53" s="111">
        <v>7337</v>
      </c>
      <c r="I53" s="128">
        <f t="shared" si="13"/>
        <v>632.092562355186</v>
      </c>
      <c r="J53" s="126"/>
      <c r="K53" s="192" t="s">
        <v>54</v>
      </c>
    </row>
    <row r="54" s="98" customFormat="1" ht="23" customHeight="1" spans="1:11">
      <c r="A54" s="112">
        <v>2</v>
      </c>
      <c r="B54" s="110" t="s">
        <v>53</v>
      </c>
      <c r="C54" s="111">
        <f>C55+C56+C57</f>
        <v>310.97389</v>
      </c>
      <c r="D54" s="111"/>
      <c r="E54" s="111"/>
      <c r="F54" s="111">
        <f t="shared" si="0"/>
        <v>310.97389</v>
      </c>
      <c r="G54" s="111" t="s">
        <v>49</v>
      </c>
      <c r="H54" s="111">
        <f>H55+H56+H57</f>
        <v>2405</v>
      </c>
      <c r="I54" s="128">
        <f t="shared" si="13"/>
        <v>1293.03072765073</v>
      </c>
      <c r="J54" s="132"/>
      <c r="K54" s="192" t="s">
        <v>54</v>
      </c>
    </row>
    <row r="55" s="97" customFormat="1" ht="23" customHeight="1" spans="1:11">
      <c r="A55" s="113">
        <v>2.1</v>
      </c>
      <c r="B55" s="116" t="s">
        <v>55</v>
      </c>
      <c r="C55" s="108">
        <f>明细!C52/10000</f>
        <v>69.190373</v>
      </c>
      <c r="D55" s="108"/>
      <c r="E55" s="108"/>
      <c r="F55" s="108">
        <f t="shared" si="0"/>
        <v>69.190373</v>
      </c>
      <c r="G55" s="108" t="s">
        <v>49</v>
      </c>
      <c r="H55" s="108">
        <v>786</v>
      </c>
      <c r="I55" s="115">
        <f t="shared" si="13"/>
        <v>880.284643765903</v>
      </c>
      <c r="J55" s="193"/>
      <c r="K55" s="192" t="s">
        <v>54</v>
      </c>
    </row>
    <row r="56" s="97" customFormat="1" ht="23" customHeight="1" spans="1:11">
      <c r="A56" s="113">
        <v>2.2</v>
      </c>
      <c r="B56" s="116" t="s">
        <v>56</v>
      </c>
      <c r="C56" s="108">
        <f>明细!C55/10000</f>
        <v>164.850467</v>
      </c>
      <c r="D56" s="108"/>
      <c r="E56" s="108"/>
      <c r="F56" s="108">
        <f t="shared" si="0"/>
        <v>164.850467</v>
      </c>
      <c r="G56" s="108" t="s">
        <v>49</v>
      </c>
      <c r="H56" s="108">
        <v>1069</v>
      </c>
      <c r="I56" s="115">
        <f t="shared" si="13"/>
        <v>1542.09978484565</v>
      </c>
      <c r="J56" s="131"/>
      <c r="K56" s="192" t="s">
        <v>54</v>
      </c>
    </row>
    <row r="57" s="97" customFormat="1" ht="23" customHeight="1" spans="1:11">
      <c r="A57" s="113">
        <v>2.3</v>
      </c>
      <c r="B57" s="116" t="s">
        <v>57</v>
      </c>
      <c r="C57" s="108">
        <f>(明细!C53+明细!C54)/10000</f>
        <v>76.93305</v>
      </c>
      <c r="D57" s="108"/>
      <c r="E57" s="108"/>
      <c r="F57" s="108">
        <f t="shared" si="0"/>
        <v>76.93305</v>
      </c>
      <c r="G57" s="108" t="s">
        <v>49</v>
      </c>
      <c r="H57" s="108">
        <v>550</v>
      </c>
      <c r="I57" s="115">
        <f t="shared" ref="I57:I60" si="14">C57/H57*10000</f>
        <v>1398.78272727273</v>
      </c>
      <c r="J57" s="131"/>
      <c r="K57" s="192" t="s">
        <v>54</v>
      </c>
    </row>
    <row r="58" s="98" customFormat="1" ht="23" customHeight="1" spans="1:11">
      <c r="A58" s="112">
        <v>3</v>
      </c>
      <c r="B58" s="110" t="s">
        <v>58</v>
      </c>
      <c r="C58" s="111">
        <f>明细!C51/10000</f>
        <v>46.60597</v>
      </c>
      <c r="D58" s="111"/>
      <c r="E58" s="111"/>
      <c r="F58" s="111">
        <f t="shared" si="0"/>
        <v>46.60597</v>
      </c>
      <c r="G58" s="111" t="s">
        <v>59</v>
      </c>
      <c r="H58" s="111">
        <v>1</v>
      </c>
      <c r="I58" s="128">
        <f t="shared" si="14"/>
        <v>466059.7</v>
      </c>
      <c r="J58" s="132"/>
      <c r="K58" s="192" t="s">
        <v>54</v>
      </c>
    </row>
    <row r="59" s="98" customFormat="1" ht="23" customHeight="1" spans="1:11">
      <c r="A59" s="112" t="s">
        <v>69</v>
      </c>
      <c r="B59" s="135" t="s">
        <v>15</v>
      </c>
      <c r="C59" s="111">
        <f>明细!C56/10000</f>
        <v>180</v>
      </c>
      <c r="D59" s="111"/>
      <c r="E59" s="111"/>
      <c r="F59" s="111">
        <f t="shared" si="0"/>
        <v>180</v>
      </c>
      <c r="G59" s="111" t="s">
        <v>59</v>
      </c>
      <c r="H59" s="136">
        <v>1</v>
      </c>
      <c r="I59" s="128">
        <f t="shared" si="14"/>
        <v>1800000</v>
      </c>
      <c r="J59" s="124"/>
      <c r="K59" s="192" t="s">
        <v>54</v>
      </c>
    </row>
    <row r="60" s="97" customFormat="1" ht="23" customHeight="1" spans="1:11">
      <c r="A60" s="112" t="s">
        <v>70</v>
      </c>
      <c r="B60" s="135" t="s">
        <v>16</v>
      </c>
      <c r="C60" s="111">
        <f>明细!C58/10000</f>
        <v>352.142</v>
      </c>
      <c r="D60" s="111"/>
      <c r="E60" s="111"/>
      <c r="F60" s="111">
        <f t="shared" si="0"/>
        <v>352.142</v>
      </c>
      <c r="G60" s="111" t="s">
        <v>71</v>
      </c>
      <c r="H60" s="136">
        <v>7</v>
      </c>
      <c r="I60" s="128">
        <f t="shared" si="14"/>
        <v>503060</v>
      </c>
      <c r="J60" s="124"/>
      <c r="K60" s="192" t="s">
        <v>54</v>
      </c>
    </row>
    <row r="61" s="97" customFormat="1" ht="23" customHeight="1" spans="1:15">
      <c r="A61" s="112" t="s">
        <v>17</v>
      </c>
      <c r="B61" s="135" t="s">
        <v>18</v>
      </c>
      <c r="C61" s="108"/>
      <c r="D61" s="111"/>
      <c r="E61" s="111">
        <f>SUM(E62:E76)-E64</f>
        <v>1270.08184167064</v>
      </c>
      <c r="F61" s="111">
        <f t="shared" ref="F61:F76" si="15">C61+E61</f>
        <v>1270.08184167064</v>
      </c>
      <c r="G61" s="111" t="s">
        <v>52</v>
      </c>
      <c r="H61" s="136"/>
      <c r="I61" s="136"/>
      <c r="J61" s="124">
        <f>F61/F81</f>
        <v>0.099322924374551</v>
      </c>
      <c r="K61" s="123"/>
      <c r="N61" s="97">
        <v>12156</v>
      </c>
      <c r="O61" s="97">
        <v>10156</v>
      </c>
    </row>
    <row r="62" s="97" customFormat="1" ht="23" customHeight="1" spans="1:11">
      <c r="A62" s="113">
        <v>1</v>
      </c>
      <c r="B62" s="116" t="s">
        <v>19</v>
      </c>
      <c r="C62" s="137"/>
      <c r="D62" s="137"/>
      <c r="E62" s="108">
        <f>157.33*0.8*$M$6</f>
        <v>149.268754045551</v>
      </c>
      <c r="F62" s="108">
        <f t="shared" si="15"/>
        <v>149.268754045551</v>
      </c>
      <c r="G62" s="108"/>
      <c r="H62" s="108"/>
      <c r="I62" s="108"/>
      <c r="J62" s="121"/>
      <c r="K62" s="114" t="s">
        <v>72</v>
      </c>
    </row>
    <row r="63" s="97" customFormat="1" ht="23" customHeight="1" spans="1:11">
      <c r="A63" s="113">
        <v>2</v>
      </c>
      <c r="B63" s="116" t="s">
        <v>20</v>
      </c>
      <c r="C63" s="137"/>
      <c r="D63" s="137"/>
      <c r="E63" s="108">
        <f>87.39*$M$6</f>
        <v>103.640408822544</v>
      </c>
      <c r="F63" s="108">
        <f t="shared" si="15"/>
        <v>103.640408822544</v>
      </c>
      <c r="G63" s="137"/>
      <c r="H63" s="108"/>
      <c r="I63" s="108"/>
      <c r="J63" s="121"/>
      <c r="K63" s="114" t="s">
        <v>73</v>
      </c>
    </row>
    <row r="64" s="97" customFormat="1" ht="23" customHeight="1" spans="1:11">
      <c r="A64" s="113">
        <v>3</v>
      </c>
      <c r="B64" s="116" t="s">
        <v>21</v>
      </c>
      <c r="C64" s="137"/>
      <c r="D64" s="137"/>
      <c r="E64" s="108">
        <f>298.95*$M$6*0.8</f>
        <v>283.632454216725</v>
      </c>
      <c r="F64" s="108">
        <f t="shared" si="15"/>
        <v>283.632454216725</v>
      </c>
      <c r="G64" s="108"/>
      <c r="H64" s="108"/>
      <c r="I64" s="108"/>
      <c r="J64" s="121"/>
      <c r="K64" s="114" t="s">
        <v>74</v>
      </c>
    </row>
    <row r="65" s="97" customFormat="1" ht="23" customHeight="1" spans="1:11">
      <c r="A65" s="113">
        <v>3.1</v>
      </c>
      <c r="B65" s="116" t="s">
        <v>75</v>
      </c>
      <c r="C65" s="137"/>
      <c r="D65" s="137"/>
      <c r="E65" s="108">
        <f>E64*45%</f>
        <v>127.634604397526</v>
      </c>
      <c r="F65" s="108">
        <f t="shared" si="15"/>
        <v>127.634604397526</v>
      </c>
      <c r="G65" s="108"/>
      <c r="H65" s="108"/>
      <c r="I65" s="108"/>
      <c r="J65" s="121"/>
      <c r="K65" s="114" t="s">
        <v>76</v>
      </c>
    </row>
    <row r="66" s="97" customFormat="1" ht="23" customHeight="1" spans="1:11">
      <c r="A66" s="113">
        <v>3.2</v>
      </c>
      <c r="B66" s="116" t="s">
        <v>77</v>
      </c>
      <c r="C66" s="137"/>
      <c r="D66" s="137"/>
      <c r="E66" s="108">
        <f>E64*55%</f>
        <v>155.997849819199</v>
      </c>
      <c r="F66" s="108">
        <f t="shared" si="15"/>
        <v>155.997849819199</v>
      </c>
      <c r="G66" s="108"/>
      <c r="H66" s="108"/>
      <c r="I66" s="108"/>
      <c r="J66" s="121"/>
      <c r="K66" s="114" t="s">
        <v>78</v>
      </c>
    </row>
    <row r="67" s="97" customFormat="1" ht="23" customHeight="1" spans="1:11">
      <c r="A67" s="113">
        <v>4</v>
      </c>
      <c r="B67" s="116" t="s">
        <v>22</v>
      </c>
      <c r="C67" s="137"/>
      <c r="D67" s="137"/>
      <c r="E67" s="108">
        <f>111.39*$M$6*0.8</f>
        <v>105.682619418635</v>
      </c>
      <c r="F67" s="108">
        <f t="shared" si="15"/>
        <v>105.682619418635</v>
      </c>
      <c r="G67" s="108"/>
      <c r="H67" s="108"/>
      <c r="I67" s="108"/>
      <c r="J67" s="121"/>
      <c r="K67" s="114" t="s">
        <v>79</v>
      </c>
    </row>
    <row r="68" s="97" customFormat="1" ht="23" customHeight="1" spans="1:11">
      <c r="A68" s="113">
        <v>5</v>
      </c>
      <c r="B68" s="116" t="s">
        <v>23</v>
      </c>
      <c r="C68" s="137"/>
      <c r="D68" s="137"/>
      <c r="E68" s="108">
        <f>191.78*$M$6*0.8</f>
        <v>181.953611204829</v>
      </c>
      <c r="F68" s="108">
        <f t="shared" si="15"/>
        <v>181.953611204829</v>
      </c>
      <c r="G68" s="137"/>
      <c r="H68" s="108"/>
      <c r="I68" s="108"/>
      <c r="J68" s="121"/>
      <c r="K68" s="114" t="s">
        <v>80</v>
      </c>
    </row>
    <row r="69" s="97" customFormat="1" ht="23" customHeight="1" spans="1:11">
      <c r="A69" s="113">
        <v>6</v>
      </c>
      <c r="B69" s="116" t="s">
        <v>24</v>
      </c>
      <c r="C69" s="137"/>
      <c r="D69" s="137"/>
      <c r="E69" s="108">
        <f>28.95*$M$6</f>
        <v>34.3333314499674</v>
      </c>
      <c r="F69" s="108">
        <f t="shared" si="15"/>
        <v>34.3333314499674</v>
      </c>
      <c r="G69" s="137"/>
      <c r="H69" s="108"/>
      <c r="I69" s="108"/>
      <c r="J69" s="145"/>
      <c r="K69" s="114" t="s">
        <v>81</v>
      </c>
    </row>
    <row r="70" s="97" customFormat="1" ht="23" customHeight="1" spans="1:11">
      <c r="A70" s="113">
        <v>7</v>
      </c>
      <c r="B70" s="116" t="s">
        <v>25</v>
      </c>
      <c r="C70" s="137"/>
      <c r="D70" s="137"/>
      <c r="E70" s="108">
        <f>80.39*$M$6*0.6</f>
        <v>57.2032438396451</v>
      </c>
      <c r="F70" s="108">
        <f t="shared" si="15"/>
        <v>57.2032438396451</v>
      </c>
      <c r="G70" s="137"/>
      <c r="H70" s="108"/>
      <c r="I70" s="108"/>
      <c r="J70" s="121"/>
      <c r="K70" s="114" t="s">
        <v>82</v>
      </c>
    </row>
    <row r="71" s="97" customFormat="1" ht="23" customHeight="1" spans="1:11">
      <c r="A71" s="113">
        <v>8</v>
      </c>
      <c r="B71" s="116" t="s">
        <v>26</v>
      </c>
      <c r="C71" s="137"/>
      <c r="D71" s="137"/>
      <c r="E71" s="108">
        <f>C5*1%</f>
        <v>109.08393184</v>
      </c>
      <c r="F71" s="108">
        <f t="shared" si="15"/>
        <v>109.08393184</v>
      </c>
      <c r="G71" s="137"/>
      <c r="H71" s="108"/>
      <c r="I71" s="108"/>
      <c r="J71" s="121"/>
      <c r="K71" s="114" t="s">
        <v>83</v>
      </c>
    </row>
    <row r="72" s="97" customFormat="1" ht="23" customHeight="1" spans="1:11">
      <c r="A72" s="113">
        <v>9</v>
      </c>
      <c r="B72" s="116" t="s">
        <v>27</v>
      </c>
      <c r="C72" s="137"/>
      <c r="D72" s="137"/>
      <c r="E72" s="108">
        <f>C5*0.4%</f>
        <v>43.633572736</v>
      </c>
      <c r="F72" s="108">
        <f t="shared" si="15"/>
        <v>43.633572736</v>
      </c>
      <c r="G72" s="137"/>
      <c r="H72" s="108"/>
      <c r="I72" s="108"/>
      <c r="J72" s="121"/>
      <c r="K72" s="114" t="s">
        <v>84</v>
      </c>
    </row>
    <row r="73" s="97" customFormat="1" ht="23" customHeight="1" spans="1:11">
      <c r="A73" s="113">
        <v>10</v>
      </c>
      <c r="B73" s="116" t="s">
        <v>28</v>
      </c>
      <c r="C73" s="137"/>
      <c r="D73" s="137"/>
      <c r="E73" s="108">
        <f>180*0.6*$M$6</f>
        <v>128.082894528376</v>
      </c>
      <c r="F73" s="108">
        <f t="shared" si="15"/>
        <v>128.082894528376</v>
      </c>
      <c r="G73" s="137"/>
      <c r="H73" s="108"/>
      <c r="I73" s="108"/>
      <c r="J73" s="121"/>
      <c r="K73" s="114" t="s">
        <v>85</v>
      </c>
    </row>
    <row r="74" s="97" customFormat="1" ht="23" customHeight="1" spans="1:11">
      <c r="A74" s="113">
        <v>11</v>
      </c>
      <c r="B74" s="116" t="s">
        <v>29</v>
      </c>
      <c r="C74" s="137"/>
      <c r="D74" s="137"/>
      <c r="E74" s="108">
        <f>C5*0.4%</f>
        <v>43.633572736</v>
      </c>
      <c r="F74" s="108">
        <f t="shared" si="15"/>
        <v>43.633572736</v>
      </c>
      <c r="G74" s="137"/>
      <c r="H74" s="108"/>
      <c r="I74" s="108"/>
      <c r="J74" s="121"/>
      <c r="K74" s="114" t="s">
        <v>86</v>
      </c>
    </row>
    <row r="75" s="97" customFormat="1" ht="23" customHeight="1" spans="1:11">
      <c r="A75" s="113">
        <v>12</v>
      </c>
      <c r="B75" s="116" t="s">
        <v>30</v>
      </c>
      <c r="C75" s="137"/>
      <c r="D75" s="137"/>
      <c r="E75" s="108">
        <f>20.24*$M$6</f>
        <v>24.0036831967993</v>
      </c>
      <c r="F75" s="108">
        <f t="shared" si="15"/>
        <v>24.0036831967993</v>
      </c>
      <c r="G75" s="137"/>
      <c r="H75" s="108"/>
      <c r="I75" s="108"/>
      <c r="J75" s="121"/>
      <c r="K75" s="114" t="s">
        <v>87</v>
      </c>
    </row>
    <row r="76" s="97" customFormat="1" ht="23" customHeight="1" spans="1:11">
      <c r="A76" s="113">
        <v>14</v>
      </c>
      <c r="B76" s="116" t="s">
        <v>31</v>
      </c>
      <c r="C76" s="137"/>
      <c r="D76" s="137"/>
      <c r="E76" s="108">
        <f>5*$M$6</f>
        <v>5.92976363557295</v>
      </c>
      <c r="F76" s="108">
        <f t="shared" si="15"/>
        <v>5.92976363557295</v>
      </c>
      <c r="G76" s="137"/>
      <c r="H76" s="108"/>
      <c r="I76" s="108"/>
      <c r="J76" s="121"/>
      <c r="K76" s="114" t="s">
        <v>88</v>
      </c>
    </row>
    <row r="77" s="97" customFormat="1" ht="23" customHeight="1" spans="1:11">
      <c r="A77" s="112" t="s">
        <v>32</v>
      </c>
      <c r="B77" s="110" t="s">
        <v>4</v>
      </c>
      <c r="C77" s="138"/>
      <c r="D77" s="138"/>
      <c r="E77" s="111">
        <f>E78+E79</f>
        <v>608.923751283532</v>
      </c>
      <c r="F77" s="111">
        <f>E77</f>
        <v>608.923751283532</v>
      </c>
      <c r="G77" s="138"/>
      <c r="H77" s="111"/>
      <c r="I77" s="111"/>
      <c r="J77" s="124">
        <f>F77/F81</f>
        <v>0.0476190476190476</v>
      </c>
      <c r="K77" s="123"/>
    </row>
    <row r="78" s="97" customFormat="1" ht="23" customHeight="1" spans="1:11">
      <c r="A78" s="113">
        <v>1</v>
      </c>
      <c r="B78" s="116" t="s">
        <v>89</v>
      </c>
      <c r="C78" s="137"/>
      <c r="D78" s="137"/>
      <c r="E78" s="108">
        <f>(F5+F61)*5%</f>
        <v>608.923751283532</v>
      </c>
      <c r="F78" s="108">
        <f>C78+E78</f>
        <v>608.923751283532</v>
      </c>
      <c r="G78" s="137"/>
      <c r="H78" s="108"/>
      <c r="I78" s="137"/>
      <c r="J78" s="145"/>
      <c r="K78" s="114" t="s">
        <v>90</v>
      </c>
    </row>
    <row r="79" s="97" customFormat="1" ht="23" customHeight="1" spans="1:11">
      <c r="A79" s="113">
        <v>2</v>
      </c>
      <c r="B79" s="116" t="s">
        <v>91</v>
      </c>
      <c r="C79" s="137"/>
      <c r="D79" s="137"/>
      <c r="E79" s="108">
        <v>0</v>
      </c>
      <c r="F79" s="108"/>
      <c r="G79" s="137"/>
      <c r="H79" s="108"/>
      <c r="I79" s="137"/>
      <c r="J79" s="145"/>
      <c r="K79" s="123"/>
    </row>
    <row r="80" s="97" customFormat="1" ht="23" customHeight="1" spans="1:11">
      <c r="A80" s="112" t="s">
        <v>33</v>
      </c>
      <c r="B80" s="110" t="s">
        <v>92</v>
      </c>
      <c r="C80" s="138"/>
      <c r="D80" s="138"/>
      <c r="E80" s="111">
        <v>0</v>
      </c>
      <c r="F80" s="111"/>
      <c r="G80" s="138"/>
      <c r="H80" s="111"/>
      <c r="I80" s="111"/>
      <c r="J80" s="124"/>
      <c r="K80" s="123"/>
    </row>
    <row r="81" s="97" customFormat="1" ht="23" customHeight="1" spans="1:11">
      <c r="A81" s="139"/>
      <c r="B81" s="140" t="s">
        <v>34</v>
      </c>
      <c r="C81" s="141"/>
      <c r="D81" s="141"/>
      <c r="E81" s="141"/>
      <c r="F81" s="141">
        <f>F5+F61+F77+F80</f>
        <v>12787.3987769542</v>
      </c>
      <c r="G81" s="142"/>
      <c r="H81" s="142"/>
      <c r="I81" s="146"/>
      <c r="J81" s="147">
        <f>F81/F81</f>
        <v>1</v>
      </c>
      <c r="K81" s="123"/>
    </row>
    <row r="82" spans="6:6">
      <c r="F82" s="143"/>
    </row>
    <row r="83" spans="6:6">
      <c r="F83" s="143"/>
    </row>
  </sheetData>
  <autoFilter xmlns:etc="http://www.wps.cn/officeDocument/2017/etCustomData" ref="A4:O83" etc:filterBottomFollowUsedRange="0">
    <extLst/>
  </autoFilter>
  <mergeCells count="7">
    <mergeCell ref="A1:K1"/>
    <mergeCell ref="C2:F2"/>
    <mergeCell ref="G2:I2"/>
    <mergeCell ref="A2:A3"/>
    <mergeCell ref="B2:B3"/>
    <mergeCell ref="J2:J3"/>
    <mergeCell ref="K2:K3"/>
  </mergeCells>
  <pageMargins left="0.75" right="0.75" top="1" bottom="1" header="0.5" footer="0.5"/>
  <pageSetup paperSize="9" scale="5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N61"/>
  <sheetViews>
    <sheetView workbookViewId="0">
      <selection activeCell="B5" sqref="B5"/>
    </sheetView>
  </sheetViews>
  <sheetFormatPr defaultColWidth="8.725" defaultRowHeight="12.75"/>
  <cols>
    <col min="1" max="1" width="6.36666666666667" style="148" customWidth="1"/>
    <col min="2" max="2" width="12.9083333333333" style="148" customWidth="1"/>
    <col min="3" max="3" width="14.1833333333333" style="148" customWidth="1"/>
    <col min="4" max="4" width="9" style="148" customWidth="1"/>
    <col min="5" max="5" width="10" style="148" customWidth="1"/>
    <col min="6" max="6" width="11.425" style="148" customWidth="1"/>
    <col min="7" max="9" width="9" style="148" customWidth="1"/>
    <col min="10" max="10" width="10.7166666666667" style="148" customWidth="1"/>
    <col min="11" max="11" width="6.85833333333333" style="148" customWidth="1"/>
    <col min="12" max="12" width="10" style="148" customWidth="1"/>
    <col min="13" max="13" width="9" style="148" customWidth="1"/>
    <col min="14" max="14" width="11.425" style="148" customWidth="1"/>
    <col min="15" max="16384" width="8.725" style="148"/>
  </cols>
  <sheetData>
    <row r="1" s="148" customFormat="1" ht="18" customHeight="1" spans="1:14">
      <c r="A1" s="152" t="s">
        <v>36</v>
      </c>
      <c r="B1" s="152" t="s">
        <v>93</v>
      </c>
      <c r="C1" s="152" t="s">
        <v>94</v>
      </c>
      <c r="D1" s="152" t="s">
        <v>95</v>
      </c>
      <c r="E1" s="152" t="s">
        <v>96</v>
      </c>
      <c r="F1" s="152"/>
      <c r="G1" s="152"/>
      <c r="H1" s="152"/>
      <c r="I1" s="152"/>
      <c r="J1" s="152" t="s">
        <v>97</v>
      </c>
      <c r="K1" s="152" t="s">
        <v>98</v>
      </c>
      <c r="L1" s="152" t="s">
        <v>99</v>
      </c>
      <c r="M1" s="152" t="s">
        <v>100</v>
      </c>
      <c r="N1" s="152" t="s">
        <v>101</v>
      </c>
    </row>
    <row r="2" s="148" customFormat="1" ht="18" customHeight="1" spans="1:14">
      <c r="A2" s="152"/>
      <c r="B2" s="152"/>
      <c r="C2" s="152"/>
      <c r="D2" s="152" t="s">
        <v>102</v>
      </c>
      <c r="E2" s="152" t="s">
        <v>103</v>
      </c>
      <c r="F2" s="152" t="s">
        <v>104</v>
      </c>
      <c r="G2" s="152" t="s">
        <v>105</v>
      </c>
      <c r="H2" s="152" t="s">
        <v>106</v>
      </c>
      <c r="I2" s="152" t="s">
        <v>107</v>
      </c>
      <c r="J2" s="152" t="s">
        <v>108</v>
      </c>
      <c r="K2" s="152"/>
      <c r="L2" s="152"/>
      <c r="M2" s="152"/>
      <c r="N2" s="152"/>
    </row>
    <row r="3" s="149" customFormat="1" ht="16.5" customHeight="1" spans="1:14">
      <c r="A3" s="154">
        <v>1</v>
      </c>
      <c r="B3" s="155" t="s">
        <v>109</v>
      </c>
      <c r="C3" s="158">
        <v>13744116.18</v>
      </c>
      <c r="D3" s="158">
        <v>13744116.18</v>
      </c>
      <c r="E3" s="158">
        <v>114502</v>
      </c>
      <c r="F3" s="158">
        <v>12327.43</v>
      </c>
      <c r="G3" s="158">
        <v>77518.91</v>
      </c>
      <c r="H3" s="158">
        <v>45928.55</v>
      </c>
      <c r="I3" s="158">
        <v>0</v>
      </c>
      <c r="J3" s="158">
        <v>0</v>
      </c>
      <c r="K3" s="158">
        <v>1071218.19</v>
      </c>
      <c r="L3" s="158">
        <v>12.6</v>
      </c>
      <c r="M3" s="173" t="s">
        <v>110</v>
      </c>
      <c r="N3" s="173" t="s">
        <v>110</v>
      </c>
    </row>
    <row r="4" s="175" customFormat="1" ht="16.5" customHeight="1" outlineLevel="1" spans="1:14">
      <c r="A4" s="177">
        <v>1.1</v>
      </c>
      <c r="B4" s="178" t="s">
        <v>111</v>
      </c>
      <c r="C4" s="179">
        <v>6677935.12</v>
      </c>
      <c r="D4" s="179">
        <v>6677935.12</v>
      </c>
      <c r="E4" s="179">
        <v>59424.92</v>
      </c>
      <c r="F4" s="179">
        <v>6353.65</v>
      </c>
      <c r="G4" s="179">
        <v>37663.79</v>
      </c>
      <c r="H4" s="179">
        <v>21497.99</v>
      </c>
      <c r="I4" s="179">
        <v>0</v>
      </c>
      <c r="J4" s="179">
        <v>0</v>
      </c>
      <c r="K4" s="179">
        <v>551287.83</v>
      </c>
      <c r="L4" s="179">
        <v>48.59</v>
      </c>
      <c r="M4" s="183" t="s">
        <v>110</v>
      </c>
      <c r="N4" s="183" t="s">
        <v>110</v>
      </c>
    </row>
    <row r="5" s="175" customFormat="1" ht="16.5" customHeight="1" outlineLevel="1" spans="1:14">
      <c r="A5" s="177">
        <v>1.2</v>
      </c>
      <c r="B5" s="178" t="s">
        <v>58</v>
      </c>
      <c r="C5" s="179">
        <v>770166.8</v>
      </c>
      <c r="D5" s="179">
        <v>770166.8</v>
      </c>
      <c r="E5" s="179">
        <v>0</v>
      </c>
      <c r="F5" s="179">
        <v>0</v>
      </c>
      <c r="G5" s="179">
        <v>0</v>
      </c>
      <c r="H5" s="179">
        <v>0</v>
      </c>
      <c r="I5" s="179">
        <v>0</v>
      </c>
      <c r="J5" s="179">
        <v>0</v>
      </c>
      <c r="K5" s="179">
        <v>0</v>
      </c>
      <c r="L5" s="179">
        <v>5.6</v>
      </c>
      <c r="M5" s="183" t="s">
        <v>110</v>
      </c>
      <c r="N5" s="183" t="s">
        <v>110</v>
      </c>
    </row>
    <row r="6" s="175" customFormat="1" ht="16.5" customHeight="1" outlineLevel="1" spans="1:14">
      <c r="A6" s="177">
        <v>1.3</v>
      </c>
      <c r="B6" s="178" t="s">
        <v>112</v>
      </c>
      <c r="C6" s="179">
        <v>5037860.33</v>
      </c>
      <c r="D6" s="179">
        <v>5037860.33</v>
      </c>
      <c r="E6" s="179">
        <v>44511.33</v>
      </c>
      <c r="F6" s="179">
        <v>4802.29</v>
      </c>
      <c r="G6" s="179">
        <v>33093.35</v>
      </c>
      <c r="H6" s="179">
        <v>20380.13</v>
      </c>
      <c r="I6" s="179">
        <v>0</v>
      </c>
      <c r="J6" s="179">
        <v>0</v>
      </c>
      <c r="K6" s="179">
        <v>416162.13</v>
      </c>
      <c r="L6" s="179">
        <v>36.65</v>
      </c>
      <c r="M6" s="183" t="s">
        <v>110</v>
      </c>
      <c r="N6" s="183" t="s">
        <v>110</v>
      </c>
    </row>
    <row r="7" s="175" customFormat="1" ht="16.5" customHeight="1" outlineLevel="1" spans="1:14">
      <c r="A7" s="177">
        <v>1.4</v>
      </c>
      <c r="B7" s="178" t="s">
        <v>113</v>
      </c>
      <c r="C7" s="179">
        <v>159935</v>
      </c>
      <c r="D7" s="179">
        <v>159935</v>
      </c>
      <c r="E7" s="179">
        <v>1360</v>
      </c>
      <c r="F7" s="179">
        <v>195</v>
      </c>
      <c r="G7" s="179">
        <v>320</v>
      </c>
      <c r="H7" s="179">
        <v>470</v>
      </c>
      <c r="I7" s="179">
        <v>0</v>
      </c>
      <c r="J7" s="179">
        <v>0</v>
      </c>
      <c r="K7" s="179">
        <v>13205</v>
      </c>
      <c r="L7" s="179">
        <v>1.16</v>
      </c>
      <c r="M7" s="183" t="s">
        <v>110</v>
      </c>
      <c r="N7" s="183" t="s">
        <v>110</v>
      </c>
    </row>
    <row r="8" s="175" customFormat="1" ht="16.5" customHeight="1" outlineLevel="1" spans="1:14">
      <c r="A8" s="177">
        <v>1.5</v>
      </c>
      <c r="B8" s="178" t="s">
        <v>114</v>
      </c>
      <c r="C8" s="179">
        <v>609395.5</v>
      </c>
      <c r="D8" s="179">
        <v>609395.5</v>
      </c>
      <c r="E8" s="179">
        <v>3063.5</v>
      </c>
      <c r="F8" s="179">
        <v>296.5</v>
      </c>
      <c r="G8" s="179">
        <v>2562.5</v>
      </c>
      <c r="H8" s="179">
        <v>1367.5</v>
      </c>
      <c r="I8" s="179">
        <v>0</v>
      </c>
      <c r="J8" s="179">
        <v>0</v>
      </c>
      <c r="K8" s="179">
        <v>50314.5</v>
      </c>
      <c r="L8" s="179">
        <v>4.43</v>
      </c>
      <c r="M8" s="183" t="s">
        <v>110</v>
      </c>
      <c r="N8" s="183" t="s">
        <v>110</v>
      </c>
    </row>
    <row r="9" s="175" customFormat="1" ht="16.5" customHeight="1" outlineLevel="1" spans="1:14">
      <c r="A9" s="177">
        <v>1.6</v>
      </c>
      <c r="B9" s="178" t="s">
        <v>115</v>
      </c>
      <c r="C9" s="179">
        <v>488823.43</v>
      </c>
      <c r="D9" s="179">
        <v>488823.43</v>
      </c>
      <c r="E9" s="179">
        <v>6142.25</v>
      </c>
      <c r="F9" s="179">
        <v>679.99</v>
      </c>
      <c r="G9" s="179">
        <v>3879.27</v>
      </c>
      <c r="H9" s="179">
        <v>2212.93</v>
      </c>
      <c r="I9" s="179">
        <v>0</v>
      </c>
      <c r="J9" s="179">
        <v>0</v>
      </c>
      <c r="K9" s="179">
        <v>40248.73</v>
      </c>
      <c r="L9" s="179">
        <v>3.56</v>
      </c>
      <c r="M9" s="183" t="s">
        <v>110</v>
      </c>
      <c r="N9" s="183" t="s">
        <v>110</v>
      </c>
    </row>
    <row r="10" s="149" customFormat="1" ht="16.5" customHeight="1" spans="1:14">
      <c r="A10" s="154">
        <v>2</v>
      </c>
      <c r="B10" s="155" t="s">
        <v>116</v>
      </c>
      <c r="C10" s="158">
        <v>10950990.08</v>
      </c>
      <c r="D10" s="158">
        <v>10950990.08</v>
      </c>
      <c r="E10" s="158">
        <v>97422.18</v>
      </c>
      <c r="F10" s="158">
        <v>10666.42</v>
      </c>
      <c r="G10" s="158">
        <v>61436.73</v>
      </c>
      <c r="H10" s="158">
        <v>35305.39</v>
      </c>
      <c r="I10" s="158">
        <v>0</v>
      </c>
      <c r="J10" s="158">
        <v>0</v>
      </c>
      <c r="K10" s="158">
        <v>774305.7</v>
      </c>
      <c r="L10" s="158">
        <v>10.04</v>
      </c>
      <c r="M10" s="173" t="s">
        <v>110</v>
      </c>
      <c r="N10" s="173" t="s">
        <v>110</v>
      </c>
    </row>
    <row r="11" s="175" customFormat="1" ht="16.5" customHeight="1" outlineLevel="1" spans="1:14">
      <c r="A11" s="177">
        <v>2.1</v>
      </c>
      <c r="B11" s="178" t="s">
        <v>111</v>
      </c>
      <c r="C11" s="179">
        <v>4480179.98</v>
      </c>
      <c r="D11" s="179">
        <v>4480179.98</v>
      </c>
      <c r="E11" s="179">
        <v>40374.92</v>
      </c>
      <c r="F11" s="179">
        <v>4314.71</v>
      </c>
      <c r="G11" s="179">
        <v>25591.53</v>
      </c>
      <c r="H11" s="179">
        <v>14603.46</v>
      </c>
      <c r="I11" s="179">
        <v>0</v>
      </c>
      <c r="J11" s="179">
        <v>0</v>
      </c>
      <c r="K11" s="179">
        <v>369857.56</v>
      </c>
      <c r="L11" s="179">
        <v>40.91</v>
      </c>
      <c r="M11" s="183" t="s">
        <v>110</v>
      </c>
      <c r="N11" s="183" t="s">
        <v>110</v>
      </c>
    </row>
    <row r="12" s="175" customFormat="1" ht="16.5" customHeight="1" outlineLevel="1" spans="1:14">
      <c r="A12" s="177">
        <v>2.2</v>
      </c>
      <c r="B12" s="178" t="s">
        <v>58</v>
      </c>
      <c r="C12" s="179">
        <v>1162216</v>
      </c>
      <c r="D12" s="179">
        <v>1162216</v>
      </c>
      <c r="E12" s="179">
        <v>0</v>
      </c>
      <c r="F12" s="179">
        <v>0</v>
      </c>
      <c r="G12" s="179">
        <v>0</v>
      </c>
      <c r="H12" s="179">
        <v>0</v>
      </c>
      <c r="I12" s="179">
        <v>0</v>
      </c>
      <c r="J12" s="179">
        <v>0</v>
      </c>
      <c r="K12" s="179">
        <v>0</v>
      </c>
      <c r="L12" s="179">
        <v>10.61</v>
      </c>
      <c r="M12" s="183" t="s">
        <v>110</v>
      </c>
      <c r="N12" s="183" t="s">
        <v>110</v>
      </c>
    </row>
    <row r="13" s="175" customFormat="1" ht="16.5" customHeight="1" outlineLevel="1" spans="1:14">
      <c r="A13" s="177">
        <v>2.3</v>
      </c>
      <c r="B13" s="178" t="s">
        <v>112</v>
      </c>
      <c r="C13" s="179">
        <v>28289.98</v>
      </c>
      <c r="D13" s="179">
        <v>28289.98</v>
      </c>
      <c r="E13" s="179">
        <v>378.47</v>
      </c>
      <c r="F13" s="179">
        <v>40.74</v>
      </c>
      <c r="G13" s="179">
        <v>275.54</v>
      </c>
      <c r="H13" s="179">
        <v>168.07</v>
      </c>
      <c r="I13" s="179">
        <v>0</v>
      </c>
      <c r="J13" s="179">
        <v>0</v>
      </c>
      <c r="K13" s="179">
        <v>2337.39</v>
      </c>
      <c r="L13" s="179">
        <v>0.26</v>
      </c>
      <c r="M13" s="183" t="s">
        <v>110</v>
      </c>
      <c r="N13" s="183" t="s">
        <v>110</v>
      </c>
    </row>
    <row r="14" s="175" customFormat="1" ht="16.5" customHeight="1" outlineLevel="1" spans="1:14">
      <c r="A14" s="177">
        <v>2.4</v>
      </c>
      <c r="B14" s="178" t="s">
        <v>113</v>
      </c>
      <c r="C14" s="179">
        <v>159935</v>
      </c>
      <c r="D14" s="179">
        <v>159935</v>
      </c>
      <c r="E14" s="179">
        <v>1360</v>
      </c>
      <c r="F14" s="179">
        <v>195</v>
      </c>
      <c r="G14" s="179">
        <v>320</v>
      </c>
      <c r="H14" s="179">
        <v>470</v>
      </c>
      <c r="I14" s="179">
        <v>0</v>
      </c>
      <c r="J14" s="179">
        <v>0</v>
      </c>
      <c r="K14" s="179">
        <v>13205</v>
      </c>
      <c r="L14" s="179">
        <v>1.46</v>
      </c>
      <c r="M14" s="183" t="s">
        <v>110</v>
      </c>
      <c r="N14" s="183" t="s">
        <v>110</v>
      </c>
    </row>
    <row r="15" s="175" customFormat="1" ht="16.5" customHeight="1" outlineLevel="1" spans="1:14">
      <c r="A15" s="177">
        <v>2.5</v>
      </c>
      <c r="B15" s="178" t="s">
        <v>114</v>
      </c>
      <c r="C15" s="179">
        <v>351823.4</v>
      </c>
      <c r="D15" s="179">
        <v>351823.4</v>
      </c>
      <c r="E15" s="179">
        <v>1482.6</v>
      </c>
      <c r="F15" s="179">
        <v>144.6</v>
      </c>
      <c r="G15" s="179">
        <v>1242.6</v>
      </c>
      <c r="H15" s="179">
        <v>662.6</v>
      </c>
      <c r="I15" s="179">
        <v>0</v>
      </c>
      <c r="J15" s="179">
        <v>0</v>
      </c>
      <c r="K15" s="179">
        <v>29049</v>
      </c>
      <c r="L15" s="179">
        <v>3.21</v>
      </c>
      <c r="M15" s="183" t="s">
        <v>110</v>
      </c>
      <c r="N15" s="183" t="s">
        <v>110</v>
      </c>
    </row>
    <row r="16" s="175" customFormat="1" ht="16.5" customHeight="1" outlineLevel="1" spans="1:14">
      <c r="A16" s="177">
        <v>2.6</v>
      </c>
      <c r="B16" s="178" t="s">
        <v>115</v>
      </c>
      <c r="C16" s="179">
        <v>4768545.72</v>
      </c>
      <c r="D16" s="179">
        <v>4768545.72</v>
      </c>
      <c r="E16" s="179">
        <v>53826.19</v>
      </c>
      <c r="F16" s="179">
        <v>5971.37</v>
      </c>
      <c r="G16" s="179">
        <v>34007.06</v>
      </c>
      <c r="H16" s="179">
        <v>19401.26</v>
      </c>
      <c r="I16" s="179">
        <v>0</v>
      </c>
      <c r="J16" s="179">
        <v>0</v>
      </c>
      <c r="K16" s="179">
        <v>359856.75</v>
      </c>
      <c r="L16" s="179">
        <v>43.54</v>
      </c>
      <c r="M16" s="183" t="s">
        <v>110</v>
      </c>
      <c r="N16" s="183" t="s">
        <v>110</v>
      </c>
    </row>
    <row r="17" s="149" customFormat="1" ht="16.5" customHeight="1" spans="1:14">
      <c r="A17" s="154">
        <v>3</v>
      </c>
      <c r="B17" s="155" t="s">
        <v>117</v>
      </c>
      <c r="C17" s="158">
        <v>19266710.54</v>
      </c>
      <c r="D17" s="158">
        <v>19266710.54</v>
      </c>
      <c r="E17" s="158">
        <v>175921.26</v>
      </c>
      <c r="F17" s="158">
        <v>20193.38</v>
      </c>
      <c r="G17" s="158">
        <v>120374.06</v>
      </c>
      <c r="H17" s="158">
        <v>71603.58</v>
      </c>
      <c r="I17" s="158">
        <v>0</v>
      </c>
      <c r="J17" s="158">
        <v>0</v>
      </c>
      <c r="K17" s="158">
        <v>1410817.51</v>
      </c>
      <c r="L17" s="158">
        <v>17.66</v>
      </c>
      <c r="M17" s="173" t="s">
        <v>110</v>
      </c>
      <c r="N17" s="173" t="s">
        <v>110</v>
      </c>
    </row>
    <row r="18" s="175" customFormat="1" ht="16.5" customHeight="1" outlineLevel="1" spans="1:14">
      <c r="A18" s="177">
        <v>3.1</v>
      </c>
      <c r="B18" s="178" t="s">
        <v>111</v>
      </c>
      <c r="C18" s="179">
        <v>8043335.69</v>
      </c>
      <c r="D18" s="179">
        <v>8043335.69</v>
      </c>
      <c r="E18" s="179">
        <v>106319.83</v>
      </c>
      <c r="F18" s="179">
        <v>11155.7</v>
      </c>
      <c r="G18" s="179">
        <v>67425.96</v>
      </c>
      <c r="H18" s="179">
        <v>38253.28</v>
      </c>
      <c r="I18" s="179">
        <v>0</v>
      </c>
      <c r="J18" s="179">
        <v>0</v>
      </c>
      <c r="K18" s="179">
        <v>664153.4</v>
      </c>
      <c r="L18" s="179">
        <v>41.75</v>
      </c>
      <c r="M18" s="183" t="s">
        <v>110</v>
      </c>
      <c r="N18" s="183" t="s">
        <v>110</v>
      </c>
    </row>
    <row r="19" s="175" customFormat="1" ht="16.5" customHeight="1" outlineLevel="1" spans="1:14">
      <c r="A19" s="177">
        <v>3.2</v>
      </c>
      <c r="B19" s="178" t="s">
        <v>63</v>
      </c>
      <c r="C19" s="179">
        <v>3317042.03</v>
      </c>
      <c r="D19" s="179">
        <v>3317042.03</v>
      </c>
      <c r="E19" s="179">
        <v>17238.43</v>
      </c>
      <c r="F19" s="179">
        <v>3369.63</v>
      </c>
      <c r="G19" s="179">
        <v>14025.68</v>
      </c>
      <c r="H19" s="179">
        <v>9173.25</v>
      </c>
      <c r="I19" s="179">
        <v>0</v>
      </c>
      <c r="J19" s="179">
        <v>0</v>
      </c>
      <c r="K19" s="179">
        <v>172973.94</v>
      </c>
      <c r="L19" s="179">
        <v>17.22</v>
      </c>
      <c r="M19" s="183" t="s">
        <v>110</v>
      </c>
      <c r="N19" s="183" t="s">
        <v>110</v>
      </c>
    </row>
    <row r="20" s="175" customFormat="1" ht="16.5" customHeight="1" outlineLevel="1" spans="1:14">
      <c r="A20" s="177">
        <v>3.3</v>
      </c>
      <c r="B20" s="178" t="s">
        <v>58</v>
      </c>
      <c r="C20" s="179">
        <v>960978</v>
      </c>
      <c r="D20" s="179">
        <v>960978</v>
      </c>
      <c r="E20" s="179">
        <v>0</v>
      </c>
      <c r="F20" s="179">
        <v>0</v>
      </c>
      <c r="G20" s="179">
        <v>0</v>
      </c>
      <c r="H20" s="179">
        <v>0</v>
      </c>
      <c r="I20" s="179">
        <v>0</v>
      </c>
      <c r="J20" s="179">
        <v>0</v>
      </c>
      <c r="K20" s="179">
        <v>0</v>
      </c>
      <c r="L20" s="179">
        <v>4.99</v>
      </c>
      <c r="M20" s="183" t="s">
        <v>110</v>
      </c>
      <c r="N20" s="183" t="s">
        <v>110</v>
      </c>
    </row>
    <row r="21" s="175" customFormat="1" ht="16.5" customHeight="1" outlineLevel="1" spans="1:14">
      <c r="A21" s="177">
        <v>3.4</v>
      </c>
      <c r="B21" s="178" t="s">
        <v>112</v>
      </c>
      <c r="C21" s="179">
        <v>6128837.81</v>
      </c>
      <c r="D21" s="179">
        <v>6128837.81</v>
      </c>
      <c r="E21" s="179">
        <v>47421.74</v>
      </c>
      <c r="F21" s="179">
        <v>5119.78</v>
      </c>
      <c r="G21" s="179">
        <v>35712.89</v>
      </c>
      <c r="H21" s="179">
        <v>22153.24</v>
      </c>
      <c r="I21" s="179">
        <v>0</v>
      </c>
      <c r="J21" s="179">
        <v>0</v>
      </c>
      <c r="K21" s="179">
        <v>506287.65</v>
      </c>
      <c r="L21" s="179">
        <v>31.81</v>
      </c>
      <c r="M21" s="183" t="s">
        <v>110</v>
      </c>
      <c r="N21" s="183" t="s">
        <v>110</v>
      </c>
    </row>
    <row r="22" s="148" customFormat="1" ht="16.5" customHeight="1" outlineLevel="1" spans="1:14">
      <c r="A22" s="164">
        <v>3.5</v>
      </c>
      <c r="B22" s="165" t="s">
        <v>113</v>
      </c>
      <c r="C22" s="167">
        <v>159935</v>
      </c>
      <c r="D22" s="167">
        <v>159935</v>
      </c>
      <c r="E22" s="167">
        <v>1360</v>
      </c>
      <c r="F22" s="167">
        <v>195</v>
      </c>
      <c r="G22" s="167">
        <v>320</v>
      </c>
      <c r="H22" s="167">
        <v>470</v>
      </c>
      <c r="I22" s="167">
        <v>0</v>
      </c>
      <c r="J22" s="167">
        <v>0</v>
      </c>
      <c r="K22" s="167">
        <v>13205</v>
      </c>
      <c r="L22" s="167">
        <v>0.83</v>
      </c>
      <c r="M22" s="171" t="s">
        <v>110</v>
      </c>
      <c r="N22" s="171" t="s">
        <v>110</v>
      </c>
    </row>
    <row r="23" s="148" customFormat="1" ht="16.5" customHeight="1" outlineLevel="1" spans="1:14">
      <c r="A23" s="164">
        <v>3.6</v>
      </c>
      <c r="B23" s="165" t="s">
        <v>114</v>
      </c>
      <c r="C23" s="167">
        <v>609395.5</v>
      </c>
      <c r="D23" s="167">
        <v>609395.5</v>
      </c>
      <c r="E23" s="167">
        <v>3063.5</v>
      </c>
      <c r="F23" s="167">
        <v>296.5</v>
      </c>
      <c r="G23" s="167">
        <v>2562.5</v>
      </c>
      <c r="H23" s="167">
        <v>1367.5</v>
      </c>
      <c r="I23" s="167">
        <v>0</v>
      </c>
      <c r="J23" s="167">
        <v>0</v>
      </c>
      <c r="K23" s="167">
        <v>50314.5</v>
      </c>
      <c r="L23" s="167">
        <v>3.16</v>
      </c>
      <c r="M23" s="171" t="s">
        <v>110</v>
      </c>
      <c r="N23" s="171" t="s">
        <v>110</v>
      </c>
    </row>
    <row r="24" s="148" customFormat="1" ht="16.5" customHeight="1" outlineLevel="1" spans="1:14">
      <c r="A24" s="164">
        <v>3.7</v>
      </c>
      <c r="B24" s="165" t="s">
        <v>115</v>
      </c>
      <c r="C24" s="167">
        <v>47186.51</v>
      </c>
      <c r="D24" s="167">
        <v>47186.51</v>
      </c>
      <c r="E24" s="167">
        <v>517.76</v>
      </c>
      <c r="F24" s="167">
        <v>56.77</v>
      </c>
      <c r="G24" s="167">
        <v>327.03</v>
      </c>
      <c r="H24" s="167">
        <v>186.31</v>
      </c>
      <c r="I24" s="167">
        <v>0</v>
      </c>
      <c r="J24" s="167">
        <v>0</v>
      </c>
      <c r="K24" s="167">
        <v>3883.02</v>
      </c>
      <c r="L24" s="167">
        <v>0.24</v>
      </c>
      <c r="M24" s="171" t="s">
        <v>110</v>
      </c>
      <c r="N24" s="171" t="s">
        <v>110</v>
      </c>
    </row>
    <row r="25" s="149" customFormat="1" ht="16.5" customHeight="1" spans="1:14">
      <c r="A25" s="154">
        <v>4</v>
      </c>
      <c r="B25" s="155" t="s">
        <v>118</v>
      </c>
      <c r="C25" s="158">
        <v>24644467.91</v>
      </c>
      <c r="D25" s="158">
        <v>24644467.91</v>
      </c>
      <c r="E25" s="158">
        <v>198094.98</v>
      </c>
      <c r="F25" s="158">
        <v>21105.42</v>
      </c>
      <c r="G25" s="158">
        <v>132741.56</v>
      </c>
      <c r="H25" s="158">
        <v>77717.14</v>
      </c>
      <c r="I25" s="158">
        <v>0</v>
      </c>
      <c r="J25" s="158">
        <v>0</v>
      </c>
      <c r="K25" s="158">
        <v>1811788.24</v>
      </c>
      <c r="L25" s="158">
        <v>22.59</v>
      </c>
      <c r="M25" s="173" t="s">
        <v>110</v>
      </c>
      <c r="N25" s="173" t="s">
        <v>110</v>
      </c>
    </row>
    <row r="26" s="175" customFormat="1" ht="16.5" customHeight="1" outlineLevel="1" spans="1:14">
      <c r="A26" s="177">
        <v>4.1</v>
      </c>
      <c r="B26" s="178" t="s">
        <v>111</v>
      </c>
      <c r="C26" s="179">
        <v>11857325.7</v>
      </c>
      <c r="D26" s="179">
        <v>11857325.7</v>
      </c>
      <c r="E26" s="179">
        <v>126812.24</v>
      </c>
      <c r="F26" s="179">
        <v>13320.44</v>
      </c>
      <c r="G26" s="179">
        <v>80559.33</v>
      </c>
      <c r="H26" s="179">
        <v>45518.29</v>
      </c>
      <c r="I26" s="179">
        <v>0</v>
      </c>
      <c r="J26" s="179">
        <v>0</v>
      </c>
      <c r="K26" s="179">
        <v>978865.53</v>
      </c>
      <c r="L26" s="179">
        <v>48.11</v>
      </c>
      <c r="M26" s="183" t="s">
        <v>110</v>
      </c>
      <c r="N26" s="183" t="s">
        <v>110</v>
      </c>
    </row>
    <row r="27" s="175" customFormat="1" ht="16.5" customHeight="1" outlineLevel="1" spans="1:14">
      <c r="A27" s="177">
        <v>4.2</v>
      </c>
      <c r="B27" s="178" t="s">
        <v>63</v>
      </c>
      <c r="C27" s="179">
        <v>1720764.66</v>
      </c>
      <c r="D27" s="179">
        <v>1720764.66</v>
      </c>
      <c r="E27" s="179">
        <v>1439.45</v>
      </c>
      <c r="F27" s="179">
        <v>198.25</v>
      </c>
      <c r="G27" s="179">
        <v>1359.02</v>
      </c>
      <c r="H27" s="179">
        <v>923.11</v>
      </c>
      <c r="I27" s="179">
        <v>0</v>
      </c>
      <c r="J27" s="179">
        <v>0</v>
      </c>
      <c r="K27" s="179">
        <v>41007.88</v>
      </c>
      <c r="L27" s="179">
        <v>6.98</v>
      </c>
      <c r="M27" s="183" t="s">
        <v>110</v>
      </c>
      <c r="N27" s="183" t="s">
        <v>110</v>
      </c>
    </row>
    <row r="28" s="175" customFormat="1" ht="16.5" customHeight="1" outlineLevel="1" spans="1:14">
      <c r="A28" s="177">
        <v>4.3</v>
      </c>
      <c r="B28" s="178" t="s">
        <v>58</v>
      </c>
      <c r="C28" s="179">
        <v>1479327</v>
      </c>
      <c r="D28" s="179">
        <v>1479327</v>
      </c>
      <c r="E28" s="179">
        <v>0</v>
      </c>
      <c r="F28" s="179">
        <v>0</v>
      </c>
      <c r="G28" s="179">
        <v>0</v>
      </c>
      <c r="H28" s="179">
        <v>0</v>
      </c>
      <c r="I28" s="179">
        <v>0</v>
      </c>
      <c r="J28" s="179">
        <v>0</v>
      </c>
      <c r="K28" s="179">
        <v>0</v>
      </c>
      <c r="L28" s="179">
        <v>6</v>
      </c>
      <c r="M28" s="183" t="s">
        <v>110</v>
      </c>
      <c r="N28" s="183" t="s">
        <v>110</v>
      </c>
    </row>
    <row r="29" s="175" customFormat="1" ht="16.5" customHeight="1" outlineLevel="1" spans="1:14">
      <c r="A29" s="177">
        <v>4.4</v>
      </c>
      <c r="B29" s="178" t="s">
        <v>112</v>
      </c>
      <c r="C29" s="179">
        <v>8653353.97</v>
      </c>
      <c r="D29" s="179">
        <v>8653353.97</v>
      </c>
      <c r="E29" s="179">
        <v>63626.86</v>
      </c>
      <c r="F29" s="179">
        <v>6898.05</v>
      </c>
      <c r="G29" s="179">
        <v>46808.17</v>
      </c>
      <c r="H29" s="179">
        <v>28792.82</v>
      </c>
      <c r="I29" s="179">
        <v>0</v>
      </c>
      <c r="J29" s="179">
        <v>0</v>
      </c>
      <c r="K29" s="179">
        <v>714875.58</v>
      </c>
      <c r="L29" s="179">
        <v>35.11</v>
      </c>
      <c r="M29" s="183" t="s">
        <v>110</v>
      </c>
      <c r="N29" s="183" t="s">
        <v>110</v>
      </c>
    </row>
    <row r="30" s="175" customFormat="1" ht="16.5" customHeight="1" outlineLevel="1" spans="1:14">
      <c r="A30" s="177">
        <v>4.5</v>
      </c>
      <c r="B30" s="178" t="s">
        <v>113</v>
      </c>
      <c r="C30" s="179">
        <v>159935</v>
      </c>
      <c r="D30" s="179">
        <v>159935</v>
      </c>
      <c r="E30" s="179">
        <v>1360</v>
      </c>
      <c r="F30" s="179">
        <v>195</v>
      </c>
      <c r="G30" s="179">
        <v>320</v>
      </c>
      <c r="H30" s="179">
        <v>470</v>
      </c>
      <c r="I30" s="179">
        <v>0</v>
      </c>
      <c r="J30" s="179">
        <v>0</v>
      </c>
      <c r="K30" s="179">
        <v>13205</v>
      </c>
      <c r="L30" s="179">
        <v>0.65</v>
      </c>
      <c r="M30" s="183" t="s">
        <v>110</v>
      </c>
      <c r="N30" s="183" t="s">
        <v>110</v>
      </c>
    </row>
    <row r="31" s="175" customFormat="1" ht="16.5" customHeight="1" outlineLevel="1" spans="1:14">
      <c r="A31" s="177">
        <v>4.6</v>
      </c>
      <c r="B31" s="178" t="s">
        <v>114</v>
      </c>
      <c r="C31" s="179">
        <v>609395.5</v>
      </c>
      <c r="D31" s="179">
        <v>609395.5</v>
      </c>
      <c r="E31" s="179">
        <v>3063.5</v>
      </c>
      <c r="F31" s="179">
        <v>296.5</v>
      </c>
      <c r="G31" s="179">
        <v>2562.5</v>
      </c>
      <c r="H31" s="179">
        <v>1367.5</v>
      </c>
      <c r="I31" s="179">
        <v>0</v>
      </c>
      <c r="J31" s="179">
        <v>0</v>
      </c>
      <c r="K31" s="179">
        <v>50314.5</v>
      </c>
      <c r="L31" s="179">
        <v>2.47</v>
      </c>
      <c r="M31" s="183" t="s">
        <v>110</v>
      </c>
      <c r="N31" s="183" t="s">
        <v>110</v>
      </c>
    </row>
    <row r="32" s="175" customFormat="1" ht="16.5" customHeight="1" outlineLevel="1" spans="1:14">
      <c r="A32" s="177">
        <v>4.7</v>
      </c>
      <c r="B32" s="178" t="s">
        <v>115</v>
      </c>
      <c r="C32" s="179">
        <v>164366.08</v>
      </c>
      <c r="D32" s="179">
        <v>164366.08</v>
      </c>
      <c r="E32" s="179">
        <v>1792.93</v>
      </c>
      <c r="F32" s="179">
        <v>197.18</v>
      </c>
      <c r="G32" s="179">
        <v>1132.54</v>
      </c>
      <c r="H32" s="179">
        <v>645.42</v>
      </c>
      <c r="I32" s="179">
        <v>0</v>
      </c>
      <c r="J32" s="179">
        <v>0</v>
      </c>
      <c r="K32" s="179">
        <v>13519.75</v>
      </c>
      <c r="L32" s="179">
        <v>0.67</v>
      </c>
      <c r="M32" s="183" t="s">
        <v>110</v>
      </c>
      <c r="N32" s="183" t="s">
        <v>110</v>
      </c>
    </row>
    <row r="33" s="176" customFormat="1" ht="16.5" customHeight="1" spans="1:14">
      <c r="A33" s="180">
        <v>5</v>
      </c>
      <c r="B33" s="181" t="s">
        <v>119</v>
      </c>
      <c r="C33" s="182">
        <v>15555706.53</v>
      </c>
      <c r="D33" s="182">
        <v>15555706.53</v>
      </c>
      <c r="E33" s="182">
        <v>143822.87</v>
      </c>
      <c r="F33" s="182">
        <v>18415.23</v>
      </c>
      <c r="G33" s="182">
        <v>98870.42</v>
      </c>
      <c r="H33" s="182">
        <v>59543.46</v>
      </c>
      <c r="I33" s="182">
        <v>0</v>
      </c>
      <c r="J33" s="182">
        <v>0</v>
      </c>
      <c r="K33" s="182">
        <v>1195331.61</v>
      </c>
      <c r="L33" s="182">
        <v>14.26</v>
      </c>
      <c r="M33" s="184" t="s">
        <v>110</v>
      </c>
      <c r="N33" s="184" t="s">
        <v>110</v>
      </c>
    </row>
    <row r="34" s="175" customFormat="1" ht="16.5" customHeight="1" outlineLevel="1" spans="1:14">
      <c r="A34" s="177">
        <v>5.1</v>
      </c>
      <c r="B34" s="178" t="s">
        <v>111</v>
      </c>
      <c r="C34" s="179">
        <v>5454534.44</v>
      </c>
      <c r="D34" s="179">
        <v>5454534.44</v>
      </c>
      <c r="E34" s="179">
        <v>59018.74</v>
      </c>
      <c r="F34" s="179">
        <v>6328.37</v>
      </c>
      <c r="G34" s="179">
        <v>37375.85</v>
      </c>
      <c r="H34" s="179">
        <v>21268.93</v>
      </c>
      <c r="I34" s="179">
        <v>0</v>
      </c>
      <c r="J34" s="179">
        <v>0</v>
      </c>
      <c r="K34" s="179">
        <v>450291.61</v>
      </c>
      <c r="L34" s="179">
        <v>35.06</v>
      </c>
      <c r="M34" s="183" t="s">
        <v>110</v>
      </c>
      <c r="N34" s="183" t="s">
        <v>110</v>
      </c>
    </row>
    <row r="35" s="175" customFormat="1" ht="16.5" customHeight="1" outlineLevel="1" spans="1:14">
      <c r="A35" s="177">
        <v>5.2</v>
      </c>
      <c r="B35" s="178" t="s">
        <v>63</v>
      </c>
      <c r="C35" s="179">
        <v>3948646.38</v>
      </c>
      <c r="D35" s="179">
        <v>3948646.38</v>
      </c>
      <c r="E35" s="179">
        <v>31608.63</v>
      </c>
      <c r="F35" s="179">
        <v>6188.55</v>
      </c>
      <c r="G35" s="179">
        <v>26224.98</v>
      </c>
      <c r="H35" s="179">
        <v>17451.57</v>
      </c>
      <c r="I35" s="179">
        <v>0</v>
      </c>
      <c r="J35" s="179">
        <v>0</v>
      </c>
      <c r="K35" s="179">
        <v>300647.88</v>
      </c>
      <c r="L35" s="179">
        <v>25.38</v>
      </c>
      <c r="M35" s="183" t="s">
        <v>110</v>
      </c>
      <c r="N35" s="183" t="s">
        <v>110</v>
      </c>
    </row>
    <row r="36" s="175" customFormat="1" ht="16.5" customHeight="1" outlineLevel="1" spans="1:14">
      <c r="A36" s="177">
        <v>5.3</v>
      </c>
      <c r="B36" s="178" t="s">
        <v>58</v>
      </c>
      <c r="C36" s="179">
        <v>762061.3</v>
      </c>
      <c r="D36" s="179">
        <v>762061.3</v>
      </c>
      <c r="E36" s="179">
        <v>0</v>
      </c>
      <c r="F36" s="179">
        <v>0</v>
      </c>
      <c r="G36" s="179">
        <v>0</v>
      </c>
      <c r="H36" s="179">
        <v>0</v>
      </c>
      <c r="I36" s="179">
        <v>0</v>
      </c>
      <c r="J36" s="179">
        <v>0</v>
      </c>
      <c r="K36" s="179">
        <v>0</v>
      </c>
      <c r="L36" s="179">
        <v>4.9</v>
      </c>
      <c r="M36" s="183" t="s">
        <v>110</v>
      </c>
      <c r="N36" s="183" t="s">
        <v>110</v>
      </c>
    </row>
    <row r="37" s="175" customFormat="1" ht="16.5" customHeight="1" outlineLevel="1" spans="1:14">
      <c r="A37" s="177">
        <v>5.4</v>
      </c>
      <c r="B37" s="178" t="s">
        <v>112</v>
      </c>
      <c r="C37" s="179">
        <v>1845185.42</v>
      </c>
      <c r="D37" s="179">
        <v>1845185.42</v>
      </c>
      <c r="E37" s="179">
        <v>17764.25</v>
      </c>
      <c r="F37" s="179">
        <v>1958.9</v>
      </c>
      <c r="G37" s="179">
        <v>12795.8</v>
      </c>
      <c r="H37" s="179">
        <v>7808.38</v>
      </c>
      <c r="I37" s="179">
        <v>0</v>
      </c>
      <c r="J37" s="179">
        <v>0</v>
      </c>
      <c r="K37" s="179">
        <v>152472.79</v>
      </c>
      <c r="L37" s="179">
        <v>11.86</v>
      </c>
      <c r="M37" s="183" t="s">
        <v>110</v>
      </c>
      <c r="N37" s="183" t="s">
        <v>110</v>
      </c>
    </row>
    <row r="38" s="175" customFormat="1" ht="16.5" customHeight="1" outlineLevel="1" spans="1:14">
      <c r="A38" s="177">
        <v>5.5</v>
      </c>
      <c r="B38" s="178" t="s">
        <v>113</v>
      </c>
      <c r="C38" s="179">
        <v>159935</v>
      </c>
      <c r="D38" s="179">
        <v>159935</v>
      </c>
      <c r="E38" s="179">
        <v>1360</v>
      </c>
      <c r="F38" s="179">
        <v>195</v>
      </c>
      <c r="G38" s="179">
        <v>320</v>
      </c>
      <c r="H38" s="179">
        <v>470</v>
      </c>
      <c r="I38" s="179">
        <v>0</v>
      </c>
      <c r="J38" s="179">
        <v>0</v>
      </c>
      <c r="K38" s="179">
        <v>13205</v>
      </c>
      <c r="L38" s="179">
        <v>1.03</v>
      </c>
      <c r="M38" s="183" t="s">
        <v>110</v>
      </c>
      <c r="N38" s="183" t="s">
        <v>110</v>
      </c>
    </row>
    <row r="39" s="175" customFormat="1" ht="16.5" customHeight="1" outlineLevel="1" spans="1:14">
      <c r="A39" s="177">
        <v>5.6</v>
      </c>
      <c r="B39" s="178" t="s">
        <v>114</v>
      </c>
      <c r="C39" s="179">
        <v>609395.5</v>
      </c>
      <c r="D39" s="179">
        <v>609395.5</v>
      </c>
      <c r="E39" s="179">
        <v>3063.5</v>
      </c>
      <c r="F39" s="179">
        <v>296.5</v>
      </c>
      <c r="G39" s="179">
        <v>2562.5</v>
      </c>
      <c r="H39" s="179">
        <v>1367.5</v>
      </c>
      <c r="I39" s="179">
        <v>0</v>
      </c>
      <c r="J39" s="179">
        <v>0</v>
      </c>
      <c r="K39" s="179">
        <v>50314.5</v>
      </c>
      <c r="L39" s="179">
        <v>3.92</v>
      </c>
      <c r="M39" s="183" t="s">
        <v>110</v>
      </c>
      <c r="N39" s="183" t="s">
        <v>110</v>
      </c>
    </row>
    <row r="40" s="175" customFormat="1" ht="16.5" customHeight="1" outlineLevel="1" spans="1:14">
      <c r="A40" s="177">
        <v>5.7</v>
      </c>
      <c r="B40" s="178" t="s">
        <v>115</v>
      </c>
      <c r="C40" s="179">
        <v>2775948.49</v>
      </c>
      <c r="D40" s="179">
        <v>2775948.49</v>
      </c>
      <c r="E40" s="179">
        <v>31007.75</v>
      </c>
      <c r="F40" s="179">
        <v>3447.91</v>
      </c>
      <c r="G40" s="179">
        <v>19591.29</v>
      </c>
      <c r="H40" s="179">
        <v>11177.08</v>
      </c>
      <c r="I40" s="179">
        <v>0</v>
      </c>
      <c r="J40" s="179">
        <v>0</v>
      </c>
      <c r="K40" s="179">
        <v>228399.83</v>
      </c>
      <c r="L40" s="179">
        <v>17.85</v>
      </c>
      <c r="M40" s="183" t="s">
        <v>110</v>
      </c>
      <c r="N40" s="183" t="s">
        <v>110</v>
      </c>
    </row>
    <row r="41" s="149" customFormat="1" ht="16.5" customHeight="1" spans="1:14">
      <c r="A41" s="154">
        <v>6</v>
      </c>
      <c r="B41" s="155" t="s">
        <v>120</v>
      </c>
      <c r="C41" s="158">
        <v>11387058.87</v>
      </c>
      <c r="D41" s="158">
        <v>11387058.87</v>
      </c>
      <c r="E41" s="158">
        <v>114046.78</v>
      </c>
      <c r="F41" s="158">
        <v>12911.53</v>
      </c>
      <c r="G41" s="158">
        <v>74804.88</v>
      </c>
      <c r="H41" s="158">
        <v>43198.38</v>
      </c>
      <c r="I41" s="158">
        <v>0</v>
      </c>
      <c r="J41" s="158">
        <v>0</v>
      </c>
      <c r="K41" s="158">
        <v>897762.71</v>
      </c>
      <c r="L41" s="158">
        <v>10.44</v>
      </c>
      <c r="M41" s="173" t="s">
        <v>110</v>
      </c>
      <c r="N41" s="173" t="s">
        <v>110</v>
      </c>
    </row>
    <row r="42" s="148" customFormat="1" ht="16.5" customHeight="1" outlineLevel="1" spans="1:14">
      <c r="A42" s="164">
        <v>6.1</v>
      </c>
      <c r="B42" s="165" t="s">
        <v>111</v>
      </c>
      <c r="C42" s="167">
        <v>5466972.07</v>
      </c>
      <c r="D42" s="167">
        <v>5466972.07</v>
      </c>
      <c r="E42" s="167">
        <v>66719.17</v>
      </c>
      <c r="F42" s="167">
        <v>6994.92</v>
      </c>
      <c r="G42" s="167">
        <v>42302.81</v>
      </c>
      <c r="H42" s="167">
        <v>24039.76</v>
      </c>
      <c r="I42" s="167">
        <v>0</v>
      </c>
      <c r="J42" s="167">
        <v>0</v>
      </c>
      <c r="K42" s="167">
        <v>451383.62</v>
      </c>
      <c r="L42" s="167">
        <v>48.01</v>
      </c>
      <c r="M42" s="171" t="s">
        <v>110</v>
      </c>
      <c r="N42" s="171" t="s">
        <v>110</v>
      </c>
    </row>
    <row r="43" s="148" customFormat="1" ht="16.5" customHeight="1" outlineLevel="1" spans="1:14">
      <c r="A43" s="164">
        <v>6.2</v>
      </c>
      <c r="B43" s="165" t="s">
        <v>63</v>
      </c>
      <c r="C43" s="167">
        <v>1228699.72</v>
      </c>
      <c r="D43" s="167">
        <v>1228699.72</v>
      </c>
      <c r="E43" s="167">
        <v>9658.6</v>
      </c>
      <c r="F43" s="167">
        <v>1772.84</v>
      </c>
      <c r="G43" s="167">
        <v>7683.4</v>
      </c>
      <c r="H43" s="167">
        <v>4517.28</v>
      </c>
      <c r="I43" s="167">
        <v>0</v>
      </c>
      <c r="J43" s="167">
        <v>0</v>
      </c>
      <c r="K43" s="167">
        <v>101607.87</v>
      </c>
      <c r="L43" s="167">
        <v>10.79</v>
      </c>
      <c r="M43" s="171" t="s">
        <v>110</v>
      </c>
      <c r="N43" s="171" t="s">
        <v>110</v>
      </c>
    </row>
    <row r="44" s="148" customFormat="1" ht="16.5" customHeight="1" outlineLevel="1" spans="1:14">
      <c r="A44" s="164">
        <v>6.3</v>
      </c>
      <c r="B44" s="165" t="s">
        <v>58</v>
      </c>
      <c r="C44" s="167">
        <v>510683.7</v>
      </c>
      <c r="D44" s="167">
        <v>510683.7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4.48</v>
      </c>
      <c r="M44" s="171" t="s">
        <v>110</v>
      </c>
      <c r="N44" s="171" t="s">
        <v>110</v>
      </c>
    </row>
    <row r="45" s="148" customFormat="1" ht="16.5" customHeight="1" outlineLevel="1" spans="1:14">
      <c r="A45" s="164">
        <v>6.4</v>
      </c>
      <c r="B45" s="165" t="s">
        <v>112</v>
      </c>
      <c r="C45" s="167">
        <v>1733456.88</v>
      </c>
      <c r="D45" s="167">
        <v>1733456.88</v>
      </c>
      <c r="E45" s="167">
        <v>13703.1</v>
      </c>
      <c r="F45" s="167">
        <v>1464.54</v>
      </c>
      <c r="G45" s="167">
        <v>9589.46</v>
      </c>
      <c r="H45" s="167">
        <v>5750.96</v>
      </c>
      <c r="I45" s="167">
        <v>0</v>
      </c>
      <c r="J45" s="167">
        <v>0</v>
      </c>
      <c r="K45" s="167">
        <v>143149.68</v>
      </c>
      <c r="L45" s="167">
        <v>15.22</v>
      </c>
      <c r="M45" s="171" t="s">
        <v>110</v>
      </c>
      <c r="N45" s="171" t="s">
        <v>110</v>
      </c>
    </row>
    <row r="46" s="148" customFormat="1" ht="16.5" customHeight="1" outlineLevel="1" spans="1:14">
      <c r="A46" s="164">
        <v>6.5</v>
      </c>
      <c r="B46" s="165" t="s">
        <v>113</v>
      </c>
      <c r="C46" s="167">
        <v>159935</v>
      </c>
      <c r="D46" s="167">
        <v>159935</v>
      </c>
      <c r="E46" s="167">
        <v>1360</v>
      </c>
      <c r="F46" s="167">
        <v>195</v>
      </c>
      <c r="G46" s="167">
        <v>320</v>
      </c>
      <c r="H46" s="167">
        <v>470</v>
      </c>
      <c r="I46" s="167">
        <v>0</v>
      </c>
      <c r="J46" s="167">
        <v>0</v>
      </c>
      <c r="K46" s="167">
        <v>13205</v>
      </c>
      <c r="L46" s="167">
        <v>1.4</v>
      </c>
      <c r="M46" s="171" t="s">
        <v>110</v>
      </c>
      <c r="N46" s="171" t="s">
        <v>110</v>
      </c>
    </row>
    <row r="47" s="148" customFormat="1" ht="16.5" customHeight="1" outlineLevel="1" spans="1:14">
      <c r="A47" s="164">
        <v>6.6</v>
      </c>
      <c r="B47" s="165" t="s">
        <v>114</v>
      </c>
      <c r="C47" s="167">
        <v>609395.5</v>
      </c>
      <c r="D47" s="167">
        <v>609395.5</v>
      </c>
      <c r="E47" s="167">
        <v>3063.5</v>
      </c>
      <c r="F47" s="167">
        <v>296.5</v>
      </c>
      <c r="G47" s="167">
        <v>2562.5</v>
      </c>
      <c r="H47" s="167">
        <v>1367.5</v>
      </c>
      <c r="I47" s="167">
        <v>0</v>
      </c>
      <c r="J47" s="167">
        <v>0</v>
      </c>
      <c r="K47" s="167">
        <v>50314.5</v>
      </c>
      <c r="L47" s="167">
        <v>5.35</v>
      </c>
      <c r="M47" s="171" t="s">
        <v>110</v>
      </c>
      <c r="N47" s="171" t="s">
        <v>110</v>
      </c>
    </row>
    <row r="48" s="148" customFormat="1" ht="16.5" customHeight="1" outlineLevel="1" spans="1:14">
      <c r="A48" s="164">
        <v>6.7</v>
      </c>
      <c r="B48" s="165" t="s">
        <v>115</v>
      </c>
      <c r="C48" s="167">
        <v>1677916</v>
      </c>
      <c r="D48" s="167">
        <v>1677916</v>
      </c>
      <c r="E48" s="167">
        <v>19542.41</v>
      </c>
      <c r="F48" s="167">
        <v>2187.73</v>
      </c>
      <c r="G48" s="167">
        <v>12346.71</v>
      </c>
      <c r="H48" s="167">
        <v>7052.88</v>
      </c>
      <c r="I48" s="167">
        <v>0</v>
      </c>
      <c r="J48" s="167">
        <v>0</v>
      </c>
      <c r="K48" s="167">
        <v>138102.04</v>
      </c>
      <c r="L48" s="167">
        <v>14.74</v>
      </c>
      <c r="M48" s="171" t="s">
        <v>110</v>
      </c>
      <c r="N48" s="171" t="s">
        <v>110</v>
      </c>
    </row>
    <row r="49" s="149" customFormat="1" ht="16.5" customHeight="1" spans="1:14">
      <c r="A49" s="154">
        <v>7</v>
      </c>
      <c r="B49" s="155" t="s">
        <v>121</v>
      </c>
      <c r="C49" s="158">
        <v>8213461.73</v>
      </c>
      <c r="D49" s="158">
        <v>8213461.73</v>
      </c>
      <c r="E49" s="158">
        <v>86513.96</v>
      </c>
      <c r="F49" s="158">
        <v>9378.12</v>
      </c>
      <c r="G49" s="158">
        <v>55577.23</v>
      </c>
      <c r="H49" s="158">
        <v>32168.72</v>
      </c>
      <c r="I49" s="158">
        <v>0</v>
      </c>
      <c r="J49" s="158">
        <v>0</v>
      </c>
      <c r="K49" s="158">
        <v>638910.96</v>
      </c>
      <c r="L49" s="158">
        <v>7.53</v>
      </c>
      <c r="M49" s="173" t="s">
        <v>110</v>
      </c>
      <c r="N49" s="173" t="s">
        <v>110</v>
      </c>
    </row>
    <row r="50" s="148" customFormat="1" ht="16.5" customHeight="1" outlineLevel="1" spans="1:14">
      <c r="A50" s="164">
        <v>7.1</v>
      </c>
      <c r="B50" s="165" t="s">
        <v>111</v>
      </c>
      <c r="C50" s="167">
        <v>4637663.13</v>
      </c>
      <c r="D50" s="167">
        <v>4637663.13</v>
      </c>
      <c r="E50" s="167">
        <v>55244.74</v>
      </c>
      <c r="F50" s="167">
        <v>5926.87</v>
      </c>
      <c r="G50" s="167">
        <v>34955.41</v>
      </c>
      <c r="H50" s="167">
        <v>19982.7</v>
      </c>
      <c r="I50" s="167">
        <v>0</v>
      </c>
      <c r="J50" s="167">
        <v>0</v>
      </c>
      <c r="K50" s="167">
        <v>382848.65</v>
      </c>
      <c r="L50" s="167">
        <v>56.46</v>
      </c>
      <c r="M50" s="171" t="s">
        <v>110</v>
      </c>
      <c r="N50" s="171" t="s">
        <v>110</v>
      </c>
    </row>
    <row r="51" s="148" customFormat="1" ht="16.5" customHeight="1" outlineLevel="1" spans="1:14">
      <c r="A51" s="164">
        <v>7.2</v>
      </c>
      <c r="B51" s="165" t="s">
        <v>58</v>
      </c>
      <c r="C51" s="167">
        <v>466059.7</v>
      </c>
      <c r="D51" s="167">
        <v>466059.7</v>
      </c>
      <c r="E51" s="167">
        <v>0</v>
      </c>
      <c r="F51" s="167">
        <v>0</v>
      </c>
      <c r="G51" s="167">
        <v>0</v>
      </c>
      <c r="H51" s="167">
        <v>0</v>
      </c>
      <c r="I51" s="167">
        <v>0</v>
      </c>
      <c r="J51" s="167">
        <v>0</v>
      </c>
      <c r="K51" s="167">
        <v>0</v>
      </c>
      <c r="L51" s="167">
        <v>5.67</v>
      </c>
      <c r="M51" s="171" t="s">
        <v>110</v>
      </c>
      <c r="N51" s="171" t="s">
        <v>110</v>
      </c>
    </row>
    <row r="52" s="148" customFormat="1" ht="16.5" customHeight="1" outlineLevel="1" spans="1:14">
      <c r="A52" s="164">
        <v>7.3</v>
      </c>
      <c r="B52" s="165" t="s">
        <v>112</v>
      </c>
      <c r="C52" s="167">
        <v>691903.73</v>
      </c>
      <c r="D52" s="167">
        <v>691903.73</v>
      </c>
      <c r="E52" s="167">
        <v>6507.35</v>
      </c>
      <c r="F52" s="167">
        <v>695.55</v>
      </c>
      <c r="G52" s="167">
        <v>4883.8</v>
      </c>
      <c r="H52" s="167">
        <v>3013.79</v>
      </c>
      <c r="I52" s="167">
        <v>0</v>
      </c>
      <c r="J52" s="167">
        <v>0</v>
      </c>
      <c r="K52" s="167">
        <v>57151.26</v>
      </c>
      <c r="L52" s="167">
        <v>8.42</v>
      </c>
      <c r="M52" s="171" t="s">
        <v>110</v>
      </c>
      <c r="N52" s="171" t="s">
        <v>110</v>
      </c>
    </row>
    <row r="53" s="148" customFormat="1" ht="16.5" customHeight="1" outlineLevel="1" spans="1:14">
      <c r="A53" s="164">
        <v>7.4</v>
      </c>
      <c r="B53" s="165" t="s">
        <v>113</v>
      </c>
      <c r="C53" s="167">
        <v>159935</v>
      </c>
      <c r="D53" s="167">
        <v>159935</v>
      </c>
      <c r="E53" s="167">
        <v>1360</v>
      </c>
      <c r="F53" s="167">
        <v>195</v>
      </c>
      <c r="G53" s="167">
        <v>320</v>
      </c>
      <c r="H53" s="167">
        <v>470</v>
      </c>
      <c r="I53" s="167">
        <v>0</v>
      </c>
      <c r="J53" s="167">
        <v>0</v>
      </c>
      <c r="K53" s="167">
        <v>13205</v>
      </c>
      <c r="L53" s="167">
        <v>1.95</v>
      </c>
      <c r="M53" s="171" t="s">
        <v>110</v>
      </c>
      <c r="N53" s="171" t="s">
        <v>110</v>
      </c>
    </row>
    <row r="54" s="148" customFormat="1" ht="16.5" customHeight="1" outlineLevel="1" spans="1:14">
      <c r="A54" s="164">
        <v>7.5</v>
      </c>
      <c r="B54" s="165" t="s">
        <v>114</v>
      </c>
      <c r="C54" s="167">
        <v>609395.5</v>
      </c>
      <c r="D54" s="167">
        <v>609395.5</v>
      </c>
      <c r="E54" s="167">
        <v>3063.5</v>
      </c>
      <c r="F54" s="167">
        <v>296.5</v>
      </c>
      <c r="G54" s="167">
        <v>2562.5</v>
      </c>
      <c r="H54" s="167">
        <v>1367.5</v>
      </c>
      <c r="I54" s="167">
        <v>0</v>
      </c>
      <c r="J54" s="167">
        <v>0</v>
      </c>
      <c r="K54" s="167">
        <v>50314.5</v>
      </c>
      <c r="L54" s="167">
        <v>7.42</v>
      </c>
      <c r="M54" s="171" t="s">
        <v>110</v>
      </c>
      <c r="N54" s="171" t="s">
        <v>110</v>
      </c>
    </row>
    <row r="55" s="148" customFormat="1" ht="16.5" customHeight="1" outlineLevel="1" spans="1:14">
      <c r="A55" s="164">
        <v>7.6</v>
      </c>
      <c r="B55" s="165" t="s">
        <v>115</v>
      </c>
      <c r="C55" s="167">
        <v>1648504.67</v>
      </c>
      <c r="D55" s="167">
        <v>1648504.67</v>
      </c>
      <c r="E55" s="167">
        <v>20338.37</v>
      </c>
      <c r="F55" s="167">
        <v>2264.2</v>
      </c>
      <c r="G55" s="167">
        <v>12855.52</v>
      </c>
      <c r="H55" s="167">
        <v>7334.73</v>
      </c>
      <c r="I55" s="167">
        <v>0</v>
      </c>
      <c r="J55" s="167">
        <v>0</v>
      </c>
      <c r="K55" s="167">
        <v>135391.55</v>
      </c>
      <c r="L55" s="167">
        <v>20.07</v>
      </c>
      <c r="M55" s="171" t="s">
        <v>110</v>
      </c>
      <c r="N55" s="171" t="s">
        <v>110</v>
      </c>
    </row>
    <row r="56" s="148" customFormat="1" ht="16.5" customHeight="1" spans="1:14">
      <c r="A56" s="164">
        <v>8</v>
      </c>
      <c r="B56" s="165" t="s">
        <v>15</v>
      </c>
      <c r="C56" s="167">
        <v>1800000</v>
      </c>
      <c r="D56" s="167">
        <v>1800000</v>
      </c>
      <c r="E56" s="167">
        <v>0</v>
      </c>
      <c r="F56" s="167">
        <v>3600</v>
      </c>
      <c r="G56" s="167">
        <v>0</v>
      </c>
      <c r="H56" s="167">
        <v>0</v>
      </c>
      <c r="I56" s="167">
        <v>0</v>
      </c>
      <c r="J56" s="167">
        <v>0</v>
      </c>
      <c r="K56" s="167">
        <v>0</v>
      </c>
      <c r="L56" s="167">
        <v>1.65</v>
      </c>
      <c r="M56" s="171" t="s">
        <v>110</v>
      </c>
      <c r="N56" s="171" t="s">
        <v>110</v>
      </c>
    </row>
    <row r="57" s="148" customFormat="1" ht="16.5" customHeight="1" outlineLevel="1" spans="1:14">
      <c r="A57" s="164">
        <v>8.1</v>
      </c>
      <c r="B57" s="165" t="s">
        <v>15</v>
      </c>
      <c r="C57" s="167">
        <v>1800000</v>
      </c>
      <c r="D57" s="167">
        <v>1800000</v>
      </c>
      <c r="E57" s="167">
        <v>0</v>
      </c>
      <c r="F57" s="167">
        <v>3600</v>
      </c>
      <c r="G57" s="167">
        <v>0</v>
      </c>
      <c r="H57" s="167">
        <v>0</v>
      </c>
      <c r="I57" s="167">
        <v>0</v>
      </c>
      <c r="J57" s="167">
        <v>0</v>
      </c>
      <c r="K57" s="167">
        <v>0</v>
      </c>
      <c r="L57" s="167">
        <v>100</v>
      </c>
      <c r="M57" s="171" t="s">
        <v>110</v>
      </c>
      <c r="N57" s="171" t="s">
        <v>110</v>
      </c>
    </row>
    <row r="58" s="148" customFormat="1" ht="16.5" customHeight="1" spans="1:14">
      <c r="A58" s="164">
        <v>9</v>
      </c>
      <c r="B58" s="165" t="s">
        <v>16</v>
      </c>
      <c r="C58" s="167">
        <v>3521420</v>
      </c>
      <c r="D58" s="167">
        <v>3521420</v>
      </c>
      <c r="E58" s="167">
        <v>0</v>
      </c>
      <c r="F58" s="167">
        <v>4200</v>
      </c>
      <c r="G58" s="167">
        <v>0</v>
      </c>
      <c r="H58" s="167">
        <v>0</v>
      </c>
      <c r="I58" s="167">
        <v>0</v>
      </c>
      <c r="J58" s="167">
        <v>0</v>
      </c>
      <c r="K58" s="167">
        <v>0</v>
      </c>
      <c r="L58" s="167">
        <v>3.23</v>
      </c>
      <c r="M58" s="171" t="s">
        <v>110</v>
      </c>
      <c r="N58" s="171" t="s">
        <v>110</v>
      </c>
    </row>
    <row r="59" s="148" customFormat="1" ht="16.5" customHeight="1" outlineLevel="1" spans="1:14">
      <c r="A59" s="164">
        <v>9.1</v>
      </c>
      <c r="B59" s="165" t="s">
        <v>16</v>
      </c>
      <c r="C59" s="167">
        <v>3521420</v>
      </c>
      <c r="D59" s="167">
        <v>3521420</v>
      </c>
      <c r="E59" s="167">
        <v>0</v>
      </c>
      <c r="F59" s="167">
        <v>4200</v>
      </c>
      <c r="G59" s="167">
        <v>0</v>
      </c>
      <c r="H59" s="167">
        <v>0</v>
      </c>
      <c r="I59" s="167">
        <v>0</v>
      </c>
      <c r="J59" s="167">
        <v>0</v>
      </c>
      <c r="K59" s="167">
        <v>0</v>
      </c>
      <c r="L59" s="167">
        <v>100</v>
      </c>
      <c r="M59" s="171" t="s">
        <v>110</v>
      </c>
      <c r="N59" s="171" t="s">
        <v>110</v>
      </c>
    </row>
    <row r="60" s="148" customFormat="1" ht="16.5" customHeight="1" spans="1:14">
      <c r="A60" s="170" t="s">
        <v>110</v>
      </c>
      <c r="B60" s="165" t="s">
        <v>110</v>
      </c>
      <c r="C60" s="171" t="s">
        <v>110</v>
      </c>
      <c r="D60" s="171" t="s">
        <v>110</v>
      </c>
      <c r="E60" s="171" t="s">
        <v>110</v>
      </c>
      <c r="F60" s="171" t="s">
        <v>110</v>
      </c>
      <c r="G60" s="171" t="s">
        <v>110</v>
      </c>
      <c r="H60" s="171" t="s">
        <v>110</v>
      </c>
      <c r="I60" s="171" t="s">
        <v>110</v>
      </c>
      <c r="J60" s="171" t="s">
        <v>110</v>
      </c>
      <c r="K60" s="171" t="s">
        <v>110</v>
      </c>
      <c r="L60" s="171" t="s">
        <v>110</v>
      </c>
      <c r="M60" s="171" t="s">
        <v>110</v>
      </c>
      <c r="N60" s="171" t="s">
        <v>110</v>
      </c>
    </row>
    <row r="61" s="148" customFormat="1" ht="16.5" customHeight="1" spans="1:14">
      <c r="A61" s="170" t="s">
        <v>110</v>
      </c>
      <c r="B61" s="165" t="s">
        <v>122</v>
      </c>
      <c r="C61" s="167">
        <v>109083931.84</v>
      </c>
      <c r="D61" s="167">
        <v>109083931.84</v>
      </c>
      <c r="E61" s="167">
        <v>930324.03</v>
      </c>
      <c r="F61" s="167">
        <v>112797.53</v>
      </c>
      <c r="G61" s="167">
        <v>621323.79</v>
      </c>
      <c r="H61" s="167">
        <v>365465.22</v>
      </c>
      <c r="I61" s="167">
        <v>0</v>
      </c>
      <c r="J61" s="167">
        <v>0</v>
      </c>
      <c r="K61" s="167">
        <v>7800134.92</v>
      </c>
      <c r="L61" s="171" t="s">
        <v>110</v>
      </c>
      <c r="M61" s="171" t="s">
        <v>110</v>
      </c>
      <c r="N61" s="171" t="s">
        <v>110</v>
      </c>
    </row>
  </sheetData>
  <mergeCells count="8">
    <mergeCell ref="E1:I1"/>
    <mergeCell ref="A1:A2"/>
    <mergeCell ref="B1:B2"/>
    <mergeCell ref="C1:C2"/>
    <mergeCell ref="K1:K2"/>
    <mergeCell ref="L1:L2"/>
    <mergeCell ref="M1:M2"/>
    <mergeCell ref="N1:N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61"/>
  <sheetViews>
    <sheetView zoomScale="110" zoomScaleNormal="110" workbookViewId="0">
      <selection activeCell="C61" sqref="C61"/>
    </sheetView>
  </sheetViews>
  <sheetFormatPr defaultColWidth="8.725" defaultRowHeight="12.75"/>
  <cols>
    <col min="1" max="1" width="7.425" style="148" customWidth="1"/>
    <col min="2" max="2" width="16.725" style="148" customWidth="1"/>
    <col min="3" max="3" width="12.3666666666667" style="148" customWidth="1"/>
    <col min="4" max="4" width="12.3666666666667" style="151" customWidth="1"/>
    <col min="5" max="5" width="9" style="148" customWidth="1"/>
    <col min="6" max="6" width="10" style="148" customWidth="1"/>
    <col min="7" max="7" width="11.425" style="148" customWidth="1"/>
    <col min="8" max="10" width="9" style="148" customWidth="1"/>
    <col min="11" max="11" width="10.7166666666667" style="148" customWidth="1"/>
    <col min="12" max="12" width="6.85833333333333" style="148" customWidth="1"/>
    <col min="13" max="13" width="10" style="148" customWidth="1"/>
    <col min="14" max="14" width="9" style="148" customWidth="1"/>
    <col min="15" max="15" width="11.425" style="148" customWidth="1"/>
    <col min="16" max="16384" width="8.725" style="148"/>
  </cols>
  <sheetData>
    <row r="1" s="148" customFormat="1" ht="18" customHeight="1" spans="1:15">
      <c r="A1" s="152" t="s">
        <v>36</v>
      </c>
      <c r="B1" s="152" t="s">
        <v>93</v>
      </c>
      <c r="C1" s="152" t="s">
        <v>94</v>
      </c>
      <c r="D1" s="153" t="s">
        <v>123</v>
      </c>
      <c r="E1" s="152" t="s">
        <v>95</v>
      </c>
      <c r="F1" s="152" t="s">
        <v>96</v>
      </c>
      <c r="G1" s="152"/>
      <c r="H1" s="152"/>
      <c r="I1" s="152"/>
      <c r="J1" s="152"/>
      <c r="K1" s="152" t="s">
        <v>97</v>
      </c>
      <c r="L1" s="152" t="s">
        <v>98</v>
      </c>
      <c r="M1" s="152" t="s">
        <v>99</v>
      </c>
      <c r="N1" s="152" t="s">
        <v>100</v>
      </c>
      <c r="O1" s="152" t="s">
        <v>101</v>
      </c>
    </row>
    <row r="2" s="148" customFormat="1" ht="18" customHeight="1" spans="1:15">
      <c r="A2" s="152"/>
      <c r="B2" s="152"/>
      <c r="C2" s="152"/>
      <c r="D2" s="153"/>
      <c r="E2" s="152" t="s">
        <v>102</v>
      </c>
      <c r="F2" s="152" t="s">
        <v>103</v>
      </c>
      <c r="G2" s="152" t="s">
        <v>104</v>
      </c>
      <c r="H2" s="152" t="s">
        <v>105</v>
      </c>
      <c r="I2" s="152" t="s">
        <v>106</v>
      </c>
      <c r="J2" s="152" t="s">
        <v>107</v>
      </c>
      <c r="K2" s="152" t="s">
        <v>108</v>
      </c>
      <c r="L2" s="152"/>
      <c r="M2" s="152"/>
      <c r="N2" s="152"/>
      <c r="O2" s="152"/>
    </row>
    <row r="3" s="149" customFormat="1" ht="16.5" customHeight="1" spans="1:15">
      <c r="A3" s="154">
        <v>1</v>
      </c>
      <c r="B3" s="155" t="s">
        <v>109</v>
      </c>
      <c r="C3" s="156">
        <v>16867757.28</v>
      </c>
      <c r="D3" s="157"/>
      <c r="E3" s="158">
        <v>16024142.7</v>
      </c>
      <c r="F3" s="158">
        <v>129261.34</v>
      </c>
      <c r="G3" s="158">
        <v>13774.85</v>
      </c>
      <c r="H3" s="158">
        <v>86996.34</v>
      </c>
      <c r="I3" s="158">
        <v>51215.77</v>
      </c>
      <c r="J3" s="158">
        <v>0</v>
      </c>
      <c r="K3" s="158">
        <v>0</v>
      </c>
      <c r="L3" s="158">
        <v>1259297.67</v>
      </c>
      <c r="M3" s="158">
        <v>13.5</v>
      </c>
      <c r="N3" s="173" t="s">
        <v>110</v>
      </c>
      <c r="O3" s="173" t="s">
        <v>110</v>
      </c>
    </row>
    <row r="4" s="150" customFormat="1" ht="16.5" customHeight="1" outlineLevel="1" spans="1:15">
      <c r="A4" s="159">
        <v>1.1</v>
      </c>
      <c r="B4" s="160" t="s">
        <v>111</v>
      </c>
      <c r="C4" s="161">
        <v>8106512.4</v>
      </c>
      <c r="D4" s="162">
        <f>C4/10000</f>
        <v>810.65124</v>
      </c>
      <c r="E4" s="163">
        <v>7601692.82</v>
      </c>
      <c r="F4" s="163">
        <v>59424.92</v>
      </c>
      <c r="G4" s="163">
        <v>6353.65</v>
      </c>
      <c r="H4" s="163">
        <v>37663.79</v>
      </c>
      <c r="I4" s="163">
        <v>21497.99</v>
      </c>
      <c r="J4" s="163">
        <v>0</v>
      </c>
      <c r="K4" s="163">
        <v>0</v>
      </c>
      <c r="L4" s="163">
        <v>627521.76</v>
      </c>
      <c r="M4" s="163">
        <v>47.44</v>
      </c>
      <c r="N4" s="174" t="s">
        <v>110</v>
      </c>
      <c r="O4" s="174" t="s">
        <v>110</v>
      </c>
    </row>
    <row r="5" s="148" customFormat="1" ht="16.5" customHeight="1" outlineLevel="1" spans="1:15">
      <c r="A5" s="164">
        <v>1.2</v>
      </c>
      <c r="B5" s="165" t="s">
        <v>124</v>
      </c>
      <c r="C5" s="161">
        <v>6679647.39</v>
      </c>
      <c r="D5" s="166">
        <f t="shared" ref="D5:D36" si="0">C5/10000</f>
        <v>667.964739</v>
      </c>
      <c r="E5" s="167">
        <v>6404488.01</v>
      </c>
      <c r="F5" s="167">
        <v>59270.67</v>
      </c>
      <c r="G5" s="167">
        <v>6249.71</v>
      </c>
      <c r="H5" s="167">
        <v>42570.78</v>
      </c>
      <c r="I5" s="167">
        <v>25667.35</v>
      </c>
      <c r="J5" s="167">
        <v>0</v>
      </c>
      <c r="K5" s="167">
        <v>0</v>
      </c>
      <c r="L5" s="167">
        <v>528852.07</v>
      </c>
      <c r="M5" s="167">
        <v>39.97</v>
      </c>
      <c r="N5" s="171" t="s">
        <v>110</v>
      </c>
      <c r="O5" s="171" t="s">
        <v>110</v>
      </c>
    </row>
    <row r="6" s="148" customFormat="1" ht="16.5" customHeight="1" outlineLevel="1" spans="1:15">
      <c r="A6" s="164">
        <v>1.3</v>
      </c>
      <c r="B6" s="165" t="s">
        <v>125</v>
      </c>
      <c r="C6" s="161">
        <v>487406.17</v>
      </c>
      <c r="D6" s="166">
        <f t="shared" si="0"/>
        <v>48.740617</v>
      </c>
      <c r="E6" s="167">
        <v>489669.07</v>
      </c>
      <c r="F6" s="167">
        <v>6142.25</v>
      </c>
      <c r="G6" s="167">
        <v>679.99</v>
      </c>
      <c r="H6" s="167">
        <v>3879.27</v>
      </c>
      <c r="I6" s="167">
        <v>2212.93</v>
      </c>
      <c r="J6" s="167">
        <v>0</v>
      </c>
      <c r="K6" s="167">
        <v>0</v>
      </c>
      <c r="L6" s="167">
        <v>40320.84</v>
      </c>
      <c r="M6" s="167">
        <v>3.06</v>
      </c>
      <c r="N6" s="171" t="s">
        <v>110</v>
      </c>
      <c r="O6" s="171" t="s">
        <v>110</v>
      </c>
    </row>
    <row r="7" s="148" customFormat="1" ht="16.5" customHeight="1" outlineLevel="1" spans="1:15">
      <c r="A7" s="164">
        <v>1.4</v>
      </c>
      <c r="B7" s="165" t="s">
        <v>113</v>
      </c>
      <c r="C7" s="161">
        <v>158895</v>
      </c>
      <c r="D7" s="166">
        <f t="shared" si="0"/>
        <v>15.8895</v>
      </c>
      <c r="E7" s="167">
        <v>160035</v>
      </c>
      <c r="F7" s="167">
        <v>1360</v>
      </c>
      <c r="G7" s="167">
        <v>195</v>
      </c>
      <c r="H7" s="167">
        <v>320</v>
      </c>
      <c r="I7" s="167">
        <v>470</v>
      </c>
      <c r="J7" s="167">
        <v>0</v>
      </c>
      <c r="K7" s="167">
        <v>0</v>
      </c>
      <c r="L7" s="167">
        <v>13215</v>
      </c>
      <c r="M7" s="167">
        <v>1</v>
      </c>
      <c r="N7" s="171" t="s">
        <v>110</v>
      </c>
      <c r="O7" s="171" t="s">
        <v>110</v>
      </c>
    </row>
    <row r="8" s="148" customFormat="1" ht="16.5" customHeight="1" outlineLevel="1" spans="1:15">
      <c r="A8" s="164">
        <v>1.5</v>
      </c>
      <c r="B8" s="165" t="s">
        <v>114</v>
      </c>
      <c r="C8" s="161">
        <v>595814.5</v>
      </c>
      <c r="D8" s="166">
        <f t="shared" si="0"/>
        <v>59.58145</v>
      </c>
      <c r="E8" s="167">
        <v>598091</v>
      </c>
      <c r="F8" s="167">
        <v>3063.5</v>
      </c>
      <c r="G8" s="167">
        <v>296.5</v>
      </c>
      <c r="H8" s="167">
        <v>2562.5</v>
      </c>
      <c r="I8" s="167">
        <v>1367.5</v>
      </c>
      <c r="J8" s="167">
        <v>0</v>
      </c>
      <c r="K8" s="167">
        <v>0</v>
      </c>
      <c r="L8" s="167">
        <v>49388</v>
      </c>
      <c r="M8" s="167">
        <v>3.73</v>
      </c>
      <c r="N8" s="171" t="s">
        <v>110</v>
      </c>
      <c r="O8" s="171" t="s">
        <v>110</v>
      </c>
    </row>
    <row r="9" s="148" customFormat="1" ht="16.5" customHeight="1" outlineLevel="1" spans="1:15">
      <c r="A9" s="164">
        <v>1.6</v>
      </c>
      <c r="B9" s="165" t="s">
        <v>58</v>
      </c>
      <c r="C9" s="156">
        <v>839481.82</v>
      </c>
      <c r="D9" s="166">
        <f t="shared" si="0"/>
        <v>83.948182</v>
      </c>
      <c r="E9" s="167">
        <v>770166.8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4.81</v>
      </c>
      <c r="N9" s="171" t="s">
        <v>110</v>
      </c>
      <c r="O9" s="171" t="s">
        <v>110</v>
      </c>
    </row>
    <row r="10" s="150" customFormat="1" ht="16.5" customHeight="1" spans="1:15">
      <c r="A10" s="159">
        <v>2</v>
      </c>
      <c r="B10" s="160" t="s">
        <v>116</v>
      </c>
      <c r="C10" s="168">
        <v>11456291.97</v>
      </c>
      <c r="D10" s="162">
        <f t="shared" si="0"/>
        <v>1145.629197</v>
      </c>
      <c r="E10" s="163">
        <v>10948055.42</v>
      </c>
      <c r="F10" s="163">
        <v>92076.46</v>
      </c>
      <c r="G10" s="163">
        <v>10093.71</v>
      </c>
      <c r="H10" s="163">
        <v>58065.81</v>
      </c>
      <c r="I10" s="163">
        <v>33391.21</v>
      </c>
      <c r="J10" s="163">
        <v>0</v>
      </c>
      <c r="K10" s="163">
        <v>0</v>
      </c>
      <c r="L10" s="163">
        <v>797186.54</v>
      </c>
      <c r="M10" s="163">
        <v>9.23</v>
      </c>
      <c r="N10" s="174" t="s">
        <v>110</v>
      </c>
      <c r="O10" s="174" t="s">
        <v>110</v>
      </c>
    </row>
    <row r="11" s="148" customFormat="1" ht="16.5" customHeight="1" outlineLevel="1" spans="1:15">
      <c r="A11" s="164">
        <v>2.1</v>
      </c>
      <c r="B11" s="165" t="s">
        <v>111</v>
      </c>
      <c r="C11" s="169">
        <v>5469379.18</v>
      </c>
      <c r="D11" s="166">
        <f t="shared" si="0"/>
        <v>546.937918</v>
      </c>
      <c r="E11" s="167">
        <v>5136228.98</v>
      </c>
      <c r="F11" s="167">
        <v>40374.92</v>
      </c>
      <c r="G11" s="167">
        <v>4314.71</v>
      </c>
      <c r="H11" s="167">
        <v>25591.53</v>
      </c>
      <c r="I11" s="167">
        <v>14603.46</v>
      </c>
      <c r="J11" s="167">
        <v>0</v>
      </c>
      <c r="K11" s="167">
        <v>0</v>
      </c>
      <c r="L11" s="167">
        <v>423998.19</v>
      </c>
      <c r="M11" s="167">
        <v>46.91</v>
      </c>
      <c r="N11" s="171" t="s">
        <v>110</v>
      </c>
      <c r="O11" s="171" t="s">
        <v>110</v>
      </c>
    </row>
    <row r="12" s="148" customFormat="1" ht="16.5" customHeight="1" outlineLevel="1" spans="1:15">
      <c r="A12" s="164">
        <v>2.2</v>
      </c>
      <c r="B12" s="165" t="s">
        <v>124</v>
      </c>
      <c r="C12" s="169">
        <v>60627.86</v>
      </c>
      <c r="D12" s="166">
        <f t="shared" si="0"/>
        <v>6.062786</v>
      </c>
      <c r="E12" s="167">
        <v>58191.59</v>
      </c>
      <c r="F12" s="167">
        <v>616.45</v>
      </c>
      <c r="G12" s="167">
        <v>65.23</v>
      </c>
      <c r="H12" s="167">
        <v>428.22</v>
      </c>
      <c r="I12" s="167">
        <v>254.39</v>
      </c>
      <c r="J12" s="167">
        <v>0</v>
      </c>
      <c r="K12" s="167">
        <v>0</v>
      </c>
      <c r="L12" s="167">
        <v>4805.06</v>
      </c>
      <c r="M12" s="167">
        <v>0.53</v>
      </c>
      <c r="N12" s="171" t="s">
        <v>110</v>
      </c>
      <c r="O12" s="171" t="s">
        <v>110</v>
      </c>
    </row>
    <row r="13" s="148" customFormat="1" ht="16.5" customHeight="1" outlineLevel="1" spans="1:15">
      <c r="A13" s="164">
        <v>2.3</v>
      </c>
      <c r="B13" s="165" t="s">
        <v>125</v>
      </c>
      <c r="C13" s="169">
        <v>4163140.29</v>
      </c>
      <c r="D13" s="166">
        <f t="shared" si="0"/>
        <v>416.314029</v>
      </c>
      <c r="E13" s="167">
        <v>4092847.05</v>
      </c>
      <c r="F13" s="167">
        <v>48242.49</v>
      </c>
      <c r="G13" s="167">
        <v>5374.17</v>
      </c>
      <c r="H13" s="167">
        <v>30483.46</v>
      </c>
      <c r="I13" s="167">
        <v>17400.76</v>
      </c>
      <c r="J13" s="167">
        <v>0</v>
      </c>
      <c r="K13" s="167">
        <v>0</v>
      </c>
      <c r="L13" s="167">
        <v>327213.89</v>
      </c>
      <c r="M13" s="167">
        <v>37.38</v>
      </c>
      <c r="N13" s="171" t="s">
        <v>110</v>
      </c>
      <c r="O13" s="171" t="s">
        <v>110</v>
      </c>
    </row>
    <row r="14" s="148" customFormat="1" ht="16.5" customHeight="1" outlineLevel="1" spans="1:15">
      <c r="A14" s="164">
        <v>2.4</v>
      </c>
      <c r="B14" s="165" t="s">
        <v>113</v>
      </c>
      <c r="C14" s="169">
        <v>158895</v>
      </c>
      <c r="D14" s="166">
        <f t="shared" si="0"/>
        <v>15.8895</v>
      </c>
      <c r="E14" s="167">
        <v>160035</v>
      </c>
      <c r="F14" s="167">
        <v>1360</v>
      </c>
      <c r="G14" s="167">
        <v>195</v>
      </c>
      <c r="H14" s="167">
        <v>320</v>
      </c>
      <c r="I14" s="167">
        <v>470</v>
      </c>
      <c r="J14" s="167">
        <v>0</v>
      </c>
      <c r="K14" s="167">
        <v>0</v>
      </c>
      <c r="L14" s="167">
        <v>13215</v>
      </c>
      <c r="M14" s="167">
        <v>1.46</v>
      </c>
      <c r="N14" s="171" t="s">
        <v>110</v>
      </c>
      <c r="O14" s="171" t="s">
        <v>110</v>
      </c>
    </row>
    <row r="15" s="148" customFormat="1" ht="16.5" customHeight="1" outlineLevel="1" spans="1:15">
      <c r="A15" s="164">
        <v>2.5</v>
      </c>
      <c r="B15" s="165" t="s">
        <v>114</v>
      </c>
      <c r="C15" s="169">
        <v>337434.2</v>
      </c>
      <c r="D15" s="166">
        <f t="shared" si="0"/>
        <v>33.74342</v>
      </c>
      <c r="E15" s="167">
        <v>338536.8</v>
      </c>
      <c r="F15" s="167">
        <v>1482.6</v>
      </c>
      <c r="G15" s="167">
        <v>144.6</v>
      </c>
      <c r="H15" s="167">
        <v>1242.6</v>
      </c>
      <c r="I15" s="167">
        <v>662.6</v>
      </c>
      <c r="J15" s="167">
        <v>0</v>
      </c>
      <c r="K15" s="167">
        <v>0</v>
      </c>
      <c r="L15" s="167">
        <v>27954.4</v>
      </c>
      <c r="M15" s="167">
        <v>3.09</v>
      </c>
      <c r="N15" s="171" t="s">
        <v>110</v>
      </c>
      <c r="O15" s="171" t="s">
        <v>110</v>
      </c>
    </row>
    <row r="16" s="148" customFormat="1" ht="16.5" customHeight="1" outlineLevel="1" spans="1:15">
      <c r="A16" s="164">
        <v>2.6</v>
      </c>
      <c r="B16" s="165" t="s">
        <v>58</v>
      </c>
      <c r="C16" s="168">
        <v>1266815.44</v>
      </c>
      <c r="D16" s="166">
        <f t="shared" si="0"/>
        <v>126.681544</v>
      </c>
      <c r="E16" s="167">
        <v>1162216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10.62</v>
      </c>
      <c r="N16" s="171" t="s">
        <v>110</v>
      </c>
      <c r="O16" s="171" t="s">
        <v>110</v>
      </c>
    </row>
    <row r="17" s="150" customFormat="1" ht="16.5" customHeight="1" spans="1:15">
      <c r="A17" s="159">
        <v>3</v>
      </c>
      <c r="B17" s="160" t="s">
        <v>117</v>
      </c>
      <c r="C17" s="169">
        <v>22637309.8</v>
      </c>
      <c r="D17" s="162">
        <f t="shared" si="0"/>
        <v>2263.73098</v>
      </c>
      <c r="E17" s="163">
        <v>21518743.77</v>
      </c>
      <c r="F17" s="163">
        <v>191523.5</v>
      </c>
      <c r="G17" s="163">
        <v>21936.72</v>
      </c>
      <c r="H17" s="163">
        <v>131150.45</v>
      </c>
      <c r="I17" s="163">
        <v>77916.96</v>
      </c>
      <c r="J17" s="163">
        <v>0</v>
      </c>
      <c r="K17" s="163">
        <v>0</v>
      </c>
      <c r="L17" s="163">
        <v>1596471.25</v>
      </c>
      <c r="M17" s="163">
        <v>18.13</v>
      </c>
      <c r="N17" s="174" t="s">
        <v>110</v>
      </c>
      <c r="O17" s="174" t="s">
        <v>110</v>
      </c>
    </row>
    <row r="18" s="148" customFormat="1" ht="16.5" customHeight="1" outlineLevel="1" spans="1:15">
      <c r="A18" s="164">
        <v>3.1</v>
      </c>
      <c r="B18" s="165" t="s">
        <v>111</v>
      </c>
      <c r="C18" s="169">
        <v>9899232.86</v>
      </c>
      <c r="D18" s="166">
        <f t="shared" si="0"/>
        <v>989.923286</v>
      </c>
      <c r="E18" s="167">
        <v>8900732.07</v>
      </c>
      <c r="F18" s="167">
        <v>106319.83</v>
      </c>
      <c r="G18" s="167">
        <v>11155.7</v>
      </c>
      <c r="H18" s="167">
        <v>67425.96</v>
      </c>
      <c r="I18" s="167">
        <v>38253.28</v>
      </c>
      <c r="J18" s="167">
        <v>0</v>
      </c>
      <c r="K18" s="167">
        <v>0</v>
      </c>
      <c r="L18" s="167">
        <v>734847.08</v>
      </c>
      <c r="M18" s="167">
        <v>41.36</v>
      </c>
      <c r="N18" s="171" t="s">
        <v>110</v>
      </c>
      <c r="O18" s="171" t="s">
        <v>110</v>
      </c>
    </row>
    <row r="19" s="148" customFormat="1" ht="16.5" customHeight="1" outlineLevel="1" spans="1:15">
      <c r="A19" s="164">
        <v>3.2</v>
      </c>
      <c r="B19" s="165" t="s">
        <v>63</v>
      </c>
      <c r="C19" s="169">
        <v>3566473.92</v>
      </c>
      <c r="D19" s="166">
        <f t="shared" si="0"/>
        <v>356.647392</v>
      </c>
      <c r="E19" s="167">
        <v>3596354.46</v>
      </c>
      <c r="F19" s="167">
        <v>19845.97</v>
      </c>
      <c r="G19" s="167">
        <v>3889.48</v>
      </c>
      <c r="H19" s="167">
        <v>16202</v>
      </c>
      <c r="I19" s="167">
        <v>10661.39</v>
      </c>
      <c r="J19" s="167">
        <v>0</v>
      </c>
      <c r="K19" s="167">
        <v>0</v>
      </c>
      <c r="L19" s="167">
        <v>196033.38</v>
      </c>
      <c r="M19" s="167">
        <v>16.71</v>
      </c>
      <c r="N19" s="171" t="s">
        <v>110</v>
      </c>
      <c r="O19" s="171" t="s">
        <v>110</v>
      </c>
    </row>
    <row r="20" s="148" customFormat="1" ht="16.5" customHeight="1" outlineLevel="1" spans="1:15">
      <c r="A20" s="164">
        <v>3.3</v>
      </c>
      <c r="B20" s="165" t="s">
        <v>124</v>
      </c>
      <c r="C20" s="169">
        <v>7322307.37</v>
      </c>
      <c r="D20" s="166">
        <f t="shared" si="0"/>
        <v>732.230737</v>
      </c>
      <c r="E20" s="167">
        <v>7255283.62</v>
      </c>
      <c r="F20" s="167">
        <v>60416.44</v>
      </c>
      <c r="G20" s="167">
        <v>6343.27</v>
      </c>
      <c r="H20" s="167">
        <v>44312.96</v>
      </c>
      <c r="I20" s="167">
        <v>26978.48</v>
      </c>
      <c r="J20" s="167">
        <v>0</v>
      </c>
      <c r="K20" s="167">
        <v>0</v>
      </c>
      <c r="L20" s="167">
        <v>599097.71</v>
      </c>
      <c r="M20" s="167">
        <v>33.72</v>
      </c>
      <c r="N20" s="171" t="s">
        <v>110</v>
      </c>
      <c r="O20" s="171" t="s">
        <v>110</v>
      </c>
    </row>
    <row r="21" s="148" customFormat="1" ht="16.5" customHeight="1" outlineLevel="1" spans="1:15">
      <c r="A21" s="164">
        <v>3.4</v>
      </c>
      <c r="B21" s="165" t="s">
        <v>125</v>
      </c>
      <c r="C21" s="169">
        <v>47120.12</v>
      </c>
      <c r="D21" s="166">
        <f t="shared" si="0"/>
        <v>4.712012</v>
      </c>
      <c r="E21" s="167">
        <v>47269.62</v>
      </c>
      <c r="F21" s="167">
        <v>517.76</v>
      </c>
      <c r="G21" s="167">
        <v>56.77</v>
      </c>
      <c r="H21" s="167">
        <v>327.03</v>
      </c>
      <c r="I21" s="167">
        <v>186.31</v>
      </c>
      <c r="J21" s="167">
        <v>0</v>
      </c>
      <c r="K21" s="167">
        <v>0</v>
      </c>
      <c r="L21" s="167">
        <v>3890.08</v>
      </c>
      <c r="M21" s="167">
        <v>0.22</v>
      </c>
      <c r="N21" s="171" t="s">
        <v>110</v>
      </c>
      <c r="O21" s="171" t="s">
        <v>110</v>
      </c>
    </row>
    <row r="22" s="148" customFormat="1" ht="16.5" customHeight="1" outlineLevel="1" spans="1:15">
      <c r="A22" s="164">
        <v>3.5</v>
      </c>
      <c r="B22" s="165" t="s">
        <v>113</v>
      </c>
      <c r="C22" s="169">
        <v>158895</v>
      </c>
      <c r="D22" s="166">
        <f t="shared" si="0"/>
        <v>15.8895</v>
      </c>
      <c r="E22" s="167">
        <v>160035</v>
      </c>
      <c r="F22" s="167">
        <v>1360</v>
      </c>
      <c r="G22" s="167">
        <v>195</v>
      </c>
      <c r="H22" s="167">
        <v>320</v>
      </c>
      <c r="I22" s="167">
        <v>470</v>
      </c>
      <c r="J22" s="167">
        <v>0</v>
      </c>
      <c r="K22" s="167">
        <v>0</v>
      </c>
      <c r="L22" s="167">
        <v>13215</v>
      </c>
      <c r="M22" s="167">
        <v>0.74</v>
      </c>
      <c r="N22" s="171" t="s">
        <v>110</v>
      </c>
      <c r="O22" s="171" t="s">
        <v>110</v>
      </c>
    </row>
    <row r="23" s="148" customFormat="1" ht="16.5" customHeight="1" outlineLevel="1" spans="1:15">
      <c r="A23" s="164">
        <v>3.6</v>
      </c>
      <c r="B23" s="165" t="s">
        <v>114</v>
      </c>
      <c r="C23" s="168">
        <v>595814.5</v>
      </c>
      <c r="D23" s="166">
        <f t="shared" si="0"/>
        <v>59.58145</v>
      </c>
      <c r="E23" s="167">
        <v>598091</v>
      </c>
      <c r="F23" s="167">
        <v>3063.5</v>
      </c>
      <c r="G23" s="167">
        <v>296.5</v>
      </c>
      <c r="H23" s="167">
        <v>2562.5</v>
      </c>
      <c r="I23" s="167">
        <v>1367.5</v>
      </c>
      <c r="J23" s="167">
        <v>0</v>
      </c>
      <c r="K23" s="167">
        <v>0</v>
      </c>
      <c r="L23" s="167">
        <v>49388</v>
      </c>
      <c r="M23" s="167">
        <v>2.78</v>
      </c>
      <c r="N23" s="171" t="s">
        <v>110</v>
      </c>
      <c r="O23" s="171" t="s">
        <v>110</v>
      </c>
    </row>
    <row r="24" s="148" customFormat="1" ht="16.5" customHeight="1" outlineLevel="1" spans="1:15">
      <c r="A24" s="164">
        <v>3.7</v>
      </c>
      <c r="B24" s="165" t="s">
        <v>58</v>
      </c>
      <c r="C24" s="169">
        <v>1047466.03</v>
      </c>
      <c r="D24" s="166">
        <f t="shared" si="0"/>
        <v>104.746603</v>
      </c>
      <c r="E24" s="167">
        <v>960978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4.47</v>
      </c>
      <c r="N24" s="171" t="s">
        <v>110</v>
      </c>
      <c r="O24" s="171" t="s">
        <v>110</v>
      </c>
    </row>
    <row r="25" s="150" customFormat="1" ht="16.5" customHeight="1" spans="1:15">
      <c r="A25" s="159">
        <v>4</v>
      </c>
      <c r="B25" s="160" t="s">
        <v>118</v>
      </c>
      <c r="C25" s="169">
        <v>28627370.22</v>
      </c>
      <c r="D25" s="162">
        <f t="shared" si="0"/>
        <v>2862.737022</v>
      </c>
      <c r="E25" s="163">
        <v>26827988.93</v>
      </c>
      <c r="F25" s="163">
        <v>219445.9</v>
      </c>
      <c r="G25" s="163">
        <v>23132.59</v>
      </c>
      <c r="H25" s="163">
        <v>146885.63</v>
      </c>
      <c r="I25" s="163">
        <v>85663.44</v>
      </c>
      <c r="J25" s="163">
        <v>0</v>
      </c>
      <c r="K25" s="163">
        <v>0</v>
      </c>
      <c r="L25" s="163">
        <v>1991870.23</v>
      </c>
      <c r="M25" s="163">
        <v>22.61</v>
      </c>
      <c r="N25" s="174" t="s">
        <v>110</v>
      </c>
      <c r="O25" s="174" t="s">
        <v>110</v>
      </c>
    </row>
    <row r="26" s="148" customFormat="1" ht="16.5" customHeight="1" outlineLevel="1" spans="1:15">
      <c r="A26" s="164">
        <v>4.1</v>
      </c>
      <c r="B26" s="165" t="s">
        <v>111</v>
      </c>
      <c r="C26" s="169">
        <v>13139589.66</v>
      </c>
      <c r="D26" s="166">
        <f t="shared" si="0"/>
        <v>1313.958966</v>
      </c>
      <c r="E26" s="167">
        <v>12253817.17</v>
      </c>
      <c r="F26" s="167">
        <v>126812.24</v>
      </c>
      <c r="G26" s="167">
        <v>13320.44</v>
      </c>
      <c r="H26" s="167">
        <v>80559.33</v>
      </c>
      <c r="I26" s="167">
        <v>45518.29</v>
      </c>
      <c r="J26" s="167">
        <v>0</v>
      </c>
      <c r="K26" s="167">
        <v>0</v>
      </c>
      <c r="L26" s="167">
        <v>1011683.73</v>
      </c>
      <c r="M26" s="167">
        <v>45.68</v>
      </c>
      <c r="N26" s="171" t="s">
        <v>110</v>
      </c>
      <c r="O26" s="171" t="s">
        <v>110</v>
      </c>
    </row>
    <row r="27" s="148" customFormat="1" ht="16.5" customHeight="1" outlineLevel="1" spans="1:15">
      <c r="A27" s="164">
        <v>4.2</v>
      </c>
      <c r="B27" s="165" t="s">
        <v>63</v>
      </c>
      <c r="C27" s="169">
        <v>1732000.36</v>
      </c>
      <c r="D27" s="166">
        <f t="shared" si="0"/>
        <v>173.200036</v>
      </c>
      <c r="E27" s="167">
        <v>1733659.91</v>
      </c>
      <c r="F27" s="167">
        <v>1542.32</v>
      </c>
      <c r="G27" s="167">
        <v>219.02</v>
      </c>
      <c r="H27" s="167">
        <v>1444.95</v>
      </c>
      <c r="I27" s="167">
        <v>981.53</v>
      </c>
      <c r="J27" s="167">
        <v>0</v>
      </c>
      <c r="K27" s="167">
        <v>0</v>
      </c>
      <c r="L27" s="167">
        <v>42066.61</v>
      </c>
      <c r="M27" s="167">
        <v>6.46</v>
      </c>
      <c r="N27" s="171" t="s">
        <v>110</v>
      </c>
      <c r="O27" s="171" t="s">
        <v>110</v>
      </c>
    </row>
    <row r="28" s="148" customFormat="1" ht="16.5" customHeight="1" outlineLevel="1" spans="1:15">
      <c r="A28" s="164">
        <v>4.3</v>
      </c>
      <c r="B28" s="165" t="s">
        <v>124</v>
      </c>
      <c r="C28" s="169">
        <v>11224353.1</v>
      </c>
      <c r="D28" s="166">
        <f t="shared" si="0"/>
        <v>1122.43531</v>
      </c>
      <c r="E28" s="167">
        <v>10438372.55</v>
      </c>
      <c r="F28" s="167">
        <v>84874.91</v>
      </c>
      <c r="G28" s="167">
        <v>8904.45</v>
      </c>
      <c r="H28" s="167">
        <v>60866.31</v>
      </c>
      <c r="I28" s="167">
        <v>36680.7</v>
      </c>
      <c r="J28" s="167">
        <v>0</v>
      </c>
      <c r="K28" s="167">
        <v>0</v>
      </c>
      <c r="L28" s="167">
        <v>861969.94</v>
      </c>
      <c r="M28" s="167">
        <v>38.91</v>
      </c>
      <c r="N28" s="171" t="s">
        <v>110</v>
      </c>
      <c r="O28" s="171" t="s">
        <v>110</v>
      </c>
    </row>
    <row r="29" s="148" customFormat="1" ht="16.5" customHeight="1" outlineLevel="1" spans="1:15">
      <c r="A29" s="164">
        <v>4.4</v>
      </c>
      <c r="B29" s="165" t="s">
        <v>125</v>
      </c>
      <c r="C29" s="169">
        <v>164251.16</v>
      </c>
      <c r="D29" s="166">
        <f t="shared" si="0"/>
        <v>16.425116</v>
      </c>
      <c r="E29" s="167">
        <v>164686.3</v>
      </c>
      <c r="F29" s="167">
        <v>1792.93</v>
      </c>
      <c r="G29" s="167">
        <v>197.18</v>
      </c>
      <c r="H29" s="167">
        <v>1132.54</v>
      </c>
      <c r="I29" s="167">
        <v>645.42</v>
      </c>
      <c r="J29" s="167">
        <v>0</v>
      </c>
      <c r="K29" s="167">
        <v>0</v>
      </c>
      <c r="L29" s="167">
        <v>13546.95</v>
      </c>
      <c r="M29" s="167">
        <v>0.61</v>
      </c>
      <c r="N29" s="171" t="s">
        <v>110</v>
      </c>
      <c r="O29" s="171" t="s">
        <v>110</v>
      </c>
    </row>
    <row r="30" s="148" customFormat="1" ht="16.5" customHeight="1" outlineLevel="1" spans="1:15">
      <c r="A30" s="164">
        <v>4.5</v>
      </c>
      <c r="B30" s="165" t="s">
        <v>113</v>
      </c>
      <c r="C30" s="169">
        <v>158895</v>
      </c>
      <c r="D30" s="166">
        <f t="shared" si="0"/>
        <v>15.8895</v>
      </c>
      <c r="E30" s="167">
        <v>160035</v>
      </c>
      <c r="F30" s="167">
        <v>1360</v>
      </c>
      <c r="G30" s="167">
        <v>195</v>
      </c>
      <c r="H30" s="167">
        <v>320</v>
      </c>
      <c r="I30" s="167">
        <v>470</v>
      </c>
      <c r="J30" s="167">
        <v>0</v>
      </c>
      <c r="K30" s="167">
        <v>0</v>
      </c>
      <c r="L30" s="167">
        <v>13215</v>
      </c>
      <c r="M30" s="167">
        <v>0.6</v>
      </c>
      <c r="N30" s="171" t="s">
        <v>110</v>
      </c>
      <c r="O30" s="171" t="s">
        <v>110</v>
      </c>
    </row>
    <row r="31" s="148" customFormat="1" ht="16.5" customHeight="1" outlineLevel="1" spans="1:15">
      <c r="A31" s="164">
        <v>4.6</v>
      </c>
      <c r="B31" s="165" t="s">
        <v>114</v>
      </c>
      <c r="C31" s="168">
        <v>595814.5</v>
      </c>
      <c r="D31" s="166">
        <f t="shared" si="0"/>
        <v>59.58145</v>
      </c>
      <c r="E31" s="167">
        <v>598091</v>
      </c>
      <c r="F31" s="167">
        <v>3063.5</v>
      </c>
      <c r="G31" s="167">
        <v>296.5</v>
      </c>
      <c r="H31" s="167">
        <v>2562.5</v>
      </c>
      <c r="I31" s="167">
        <v>1367.5</v>
      </c>
      <c r="J31" s="167">
        <v>0</v>
      </c>
      <c r="K31" s="167">
        <v>0</v>
      </c>
      <c r="L31" s="167">
        <v>49388</v>
      </c>
      <c r="M31" s="167">
        <v>2.23</v>
      </c>
      <c r="N31" s="171" t="s">
        <v>110</v>
      </c>
      <c r="O31" s="171" t="s">
        <v>110</v>
      </c>
    </row>
    <row r="32" s="148" customFormat="1" ht="16.5" customHeight="1" outlineLevel="1" spans="1:15">
      <c r="A32" s="164">
        <v>4.7</v>
      </c>
      <c r="B32" s="165" t="s">
        <v>58</v>
      </c>
      <c r="C32" s="169">
        <v>1612466.44</v>
      </c>
      <c r="D32" s="166">
        <f t="shared" si="0"/>
        <v>161.246644</v>
      </c>
      <c r="E32" s="167">
        <v>1479327</v>
      </c>
      <c r="F32" s="167">
        <v>0</v>
      </c>
      <c r="G32" s="167">
        <v>0</v>
      </c>
      <c r="H32" s="167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5.51</v>
      </c>
      <c r="N32" s="171" t="s">
        <v>110</v>
      </c>
      <c r="O32" s="171" t="s">
        <v>110</v>
      </c>
    </row>
    <row r="33" s="150" customFormat="1" ht="16.5" customHeight="1" spans="1:15">
      <c r="A33" s="159">
        <v>5</v>
      </c>
      <c r="B33" s="160" t="s">
        <v>119</v>
      </c>
      <c r="C33" s="169">
        <v>18031355.11</v>
      </c>
      <c r="D33" s="162">
        <f t="shared" si="0"/>
        <v>1803.135511</v>
      </c>
      <c r="E33" s="163">
        <v>17563574.92</v>
      </c>
      <c r="F33" s="163">
        <v>157552.87</v>
      </c>
      <c r="G33" s="163">
        <v>20437.93</v>
      </c>
      <c r="H33" s="163">
        <v>108517.67</v>
      </c>
      <c r="I33" s="163">
        <v>64985.32</v>
      </c>
      <c r="J33" s="163">
        <v>0</v>
      </c>
      <c r="K33" s="163">
        <v>0</v>
      </c>
      <c r="L33" s="163">
        <v>1361650.25</v>
      </c>
      <c r="M33" s="163">
        <v>14.8</v>
      </c>
      <c r="N33" s="174" t="s">
        <v>110</v>
      </c>
      <c r="O33" s="174" t="s">
        <v>110</v>
      </c>
    </row>
    <row r="34" s="148" customFormat="1" ht="16.5" customHeight="1" outlineLevel="1" spans="1:15">
      <c r="A34" s="164">
        <v>5.1</v>
      </c>
      <c r="B34" s="165" t="s">
        <v>111</v>
      </c>
      <c r="C34" s="169">
        <v>6234747.42</v>
      </c>
      <c r="D34" s="166">
        <f t="shared" si="0"/>
        <v>623.474742</v>
      </c>
      <c r="E34" s="167">
        <v>5874474.51</v>
      </c>
      <c r="F34" s="167">
        <v>59018.74</v>
      </c>
      <c r="G34" s="167">
        <v>6328.37</v>
      </c>
      <c r="H34" s="167">
        <v>37375.85</v>
      </c>
      <c r="I34" s="167">
        <v>21268.93</v>
      </c>
      <c r="J34" s="167">
        <v>0</v>
      </c>
      <c r="K34" s="167">
        <v>0</v>
      </c>
      <c r="L34" s="167">
        <v>484958.28</v>
      </c>
      <c r="M34" s="167">
        <v>33.45</v>
      </c>
      <c r="N34" s="171" t="s">
        <v>110</v>
      </c>
      <c r="O34" s="171" t="s">
        <v>110</v>
      </c>
    </row>
    <row r="35" s="148" customFormat="1" ht="16.5" customHeight="1" outlineLevel="1" spans="1:15">
      <c r="A35" s="164">
        <v>5.2</v>
      </c>
      <c r="B35" s="165" t="s">
        <v>63</v>
      </c>
      <c r="C35" s="169">
        <v>5072671.14</v>
      </c>
      <c r="D35" s="166">
        <f t="shared" si="0"/>
        <v>507.267114</v>
      </c>
      <c r="E35" s="167">
        <v>5132369.31</v>
      </c>
      <c r="F35" s="167">
        <v>40657.68</v>
      </c>
      <c r="G35" s="167">
        <v>7789.74</v>
      </c>
      <c r="H35" s="167">
        <v>32739.21</v>
      </c>
      <c r="I35" s="167">
        <v>21140.07</v>
      </c>
      <c r="J35" s="167">
        <v>0</v>
      </c>
      <c r="K35" s="167">
        <v>0</v>
      </c>
      <c r="L35" s="167">
        <v>398989.29</v>
      </c>
      <c r="M35" s="167">
        <v>29.22</v>
      </c>
      <c r="N35" s="171" t="s">
        <v>110</v>
      </c>
      <c r="O35" s="171" t="s">
        <v>110</v>
      </c>
    </row>
    <row r="36" s="148" customFormat="1" ht="16.5" customHeight="1" outlineLevel="1" spans="1:15">
      <c r="A36" s="164">
        <v>5.3</v>
      </c>
      <c r="B36" s="165" t="s">
        <v>124</v>
      </c>
      <c r="C36" s="169">
        <v>2365488.49</v>
      </c>
      <c r="D36" s="166">
        <f t="shared" si="0"/>
        <v>236.548849</v>
      </c>
      <c r="E36" s="167">
        <v>2255050.01</v>
      </c>
      <c r="F36" s="167">
        <v>22445.2</v>
      </c>
      <c r="G36" s="167">
        <v>2380.41</v>
      </c>
      <c r="H36" s="167">
        <v>15928.82</v>
      </c>
      <c r="I36" s="167">
        <v>9561.74</v>
      </c>
      <c r="J36" s="167">
        <v>0</v>
      </c>
      <c r="K36" s="167">
        <v>0</v>
      </c>
      <c r="L36" s="167">
        <v>186215.08</v>
      </c>
      <c r="M36" s="167">
        <v>12.84</v>
      </c>
      <c r="N36" s="171" t="s">
        <v>110</v>
      </c>
      <c r="O36" s="171" t="s">
        <v>110</v>
      </c>
    </row>
    <row r="37" s="148" customFormat="1" ht="16.5" customHeight="1" outlineLevel="1" spans="1:15">
      <c r="A37" s="164">
        <v>5.4</v>
      </c>
      <c r="B37" s="165" t="s">
        <v>125</v>
      </c>
      <c r="C37" s="169">
        <v>2773091.73</v>
      </c>
      <c r="D37" s="166">
        <f t="shared" ref="D37:D59" si="1">C37/10000</f>
        <v>277.309173</v>
      </c>
      <c r="E37" s="167">
        <v>2781493.79</v>
      </c>
      <c r="F37" s="167">
        <v>31007.75</v>
      </c>
      <c r="G37" s="167">
        <v>3447.91</v>
      </c>
      <c r="H37" s="167">
        <v>19591.29</v>
      </c>
      <c r="I37" s="167">
        <v>11177.08</v>
      </c>
      <c r="J37" s="167">
        <v>0</v>
      </c>
      <c r="K37" s="167">
        <v>0</v>
      </c>
      <c r="L37" s="167">
        <v>228884.6</v>
      </c>
      <c r="M37" s="167">
        <v>15.84</v>
      </c>
      <c r="N37" s="171" t="s">
        <v>110</v>
      </c>
      <c r="O37" s="171" t="s">
        <v>110</v>
      </c>
    </row>
    <row r="38" s="148" customFormat="1" ht="16.5" customHeight="1" outlineLevel="1" spans="1:15">
      <c r="A38" s="164">
        <v>5.5</v>
      </c>
      <c r="B38" s="165" t="s">
        <v>113</v>
      </c>
      <c r="C38" s="168">
        <v>158895</v>
      </c>
      <c r="D38" s="166">
        <f t="shared" si="1"/>
        <v>15.8895</v>
      </c>
      <c r="E38" s="167">
        <v>160035</v>
      </c>
      <c r="F38" s="167">
        <v>1360</v>
      </c>
      <c r="G38" s="167">
        <v>195</v>
      </c>
      <c r="H38" s="167">
        <v>320</v>
      </c>
      <c r="I38" s="167">
        <v>470</v>
      </c>
      <c r="J38" s="167">
        <v>0</v>
      </c>
      <c r="K38" s="167">
        <v>0</v>
      </c>
      <c r="L38" s="167">
        <v>13215</v>
      </c>
      <c r="M38" s="167">
        <v>0.91</v>
      </c>
      <c r="N38" s="171" t="s">
        <v>110</v>
      </c>
      <c r="O38" s="171" t="s">
        <v>110</v>
      </c>
    </row>
    <row r="39" s="148" customFormat="1" ht="16.5" customHeight="1" outlineLevel="1" spans="1:15">
      <c r="A39" s="164">
        <v>5.6</v>
      </c>
      <c r="B39" s="165" t="s">
        <v>114</v>
      </c>
      <c r="C39" s="169">
        <v>595814.5</v>
      </c>
      <c r="D39" s="166">
        <f t="shared" si="1"/>
        <v>59.58145</v>
      </c>
      <c r="E39" s="167">
        <v>598091</v>
      </c>
      <c r="F39" s="167">
        <v>3063.5</v>
      </c>
      <c r="G39" s="167">
        <v>296.5</v>
      </c>
      <c r="H39" s="167">
        <v>2562.5</v>
      </c>
      <c r="I39" s="167">
        <v>1367.5</v>
      </c>
      <c r="J39" s="167">
        <v>0</v>
      </c>
      <c r="K39" s="167">
        <v>0</v>
      </c>
      <c r="L39" s="167">
        <v>49388</v>
      </c>
      <c r="M39" s="167">
        <v>3.41</v>
      </c>
      <c r="N39" s="171" t="s">
        <v>110</v>
      </c>
      <c r="O39" s="171" t="s">
        <v>110</v>
      </c>
    </row>
    <row r="40" s="148" customFormat="1" ht="16.5" customHeight="1" outlineLevel="1" spans="1:15">
      <c r="A40" s="164">
        <v>5.7</v>
      </c>
      <c r="B40" s="165" t="s">
        <v>58</v>
      </c>
      <c r="C40" s="169">
        <v>830646.83</v>
      </c>
      <c r="D40" s="166">
        <f t="shared" si="1"/>
        <v>83.064683</v>
      </c>
      <c r="E40" s="167">
        <v>762061.3</v>
      </c>
      <c r="F40" s="167">
        <v>0</v>
      </c>
      <c r="G40" s="167">
        <v>0</v>
      </c>
      <c r="H40" s="167">
        <v>0</v>
      </c>
      <c r="I40" s="167">
        <v>0</v>
      </c>
      <c r="J40" s="167">
        <v>0</v>
      </c>
      <c r="K40" s="167">
        <v>0</v>
      </c>
      <c r="L40" s="167">
        <v>0</v>
      </c>
      <c r="M40" s="167">
        <v>4.34</v>
      </c>
      <c r="N40" s="171" t="s">
        <v>110</v>
      </c>
      <c r="O40" s="171" t="s">
        <v>110</v>
      </c>
    </row>
    <row r="41" s="150" customFormat="1" ht="16.5" customHeight="1" spans="1:15">
      <c r="A41" s="159">
        <v>6</v>
      </c>
      <c r="B41" s="160" t="s">
        <v>120</v>
      </c>
      <c r="C41" s="169">
        <v>12341345.04</v>
      </c>
      <c r="D41" s="162">
        <f t="shared" si="1"/>
        <v>1234.134504</v>
      </c>
      <c r="E41" s="163">
        <v>11795306.82</v>
      </c>
      <c r="F41" s="163">
        <v>115972.62</v>
      </c>
      <c r="G41" s="163">
        <v>12963.53</v>
      </c>
      <c r="H41" s="163">
        <v>75792.15</v>
      </c>
      <c r="I41" s="163">
        <v>43636.85</v>
      </c>
      <c r="J41" s="163">
        <v>0</v>
      </c>
      <c r="K41" s="163">
        <v>0</v>
      </c>
      <c r="L41" s="163">
        <v>931455.65</v>
      </c>
      <c r="M41" s="163">
        <v>9.94</v>
      </c>
      <c r="N41" s="174" t="s">
        <v>110</v>
      </c>
      <c r="O41" s="174" t="s">
        <v>110</v>
      </c>
    </row>
    <row r="42" s="148" customFormat="1" ht="16.5" customHeight="1" outlineLevel="1" spans="1:15">
      <c r="A42" s="164">
        <v>6.1</v>
      </c>
      <c r="B42" s="165" t="s">
        <v>111</v>
      </c>
      <c r="C42" s="169">
        <v>6255025.54</v>
      </c>
      <c r="D42" s="166">
        <f t="shared" si="1"/>
        <v>625.502554</v>
      </c>
      <c r="E42" s="167">
        <v>5804507.07</v>
      </c>
      <c r="F42" s="167">
        <v>66719.17</v>
      </c>
      <c r="G42" s="167">
        <v>6994.92</v>
      </c>
      <c r="H42" s="167">
        <v>42302.81</v>
      </c>
      <c r="I42" s="167">
        <v>24039.76</v>
      </c>
      <c r="J42" s="167">
        <v>0</v>
      </c>
      <c r="K42" s="167">
        <v>0</v>
      </c>
      <c r="L42" s="167">
        <v>479230.35</v>
      </c>
      <c r="M42" s="167">
        <v>49.21</v>
      </c>
      <c r="N42" s="171" t="s">
        <v>110</v>
      </c>
      <c r="O42" s="171" t="s">
        <v>110</v>
      </c>
    </row>
    <row r="43" s="148" customFormat="1" ht="16.5" customHeight="1" outlineLevel="1" spans="1:15">
      <c r="A43" s="164">
        <v>6.2</v>
      </c>
      <c r="B43" s="165" t="s">
        <v>63</v>
      </c>
      <c r="C43" s="169">
        <v>1019001.47</v>
      </c>
      <c r="D43" s="166">
        <f t="shared" si="1"/>
        <v>101.900147</v>
      </c>
      <c r="E43" s="167">
        <v>1030189.21</v>
      </c>
      <c r="F43" s="167">
        <v>8352.61</v>
      </c>
      <c r="G43" s="167">
        <v>1499.41</v>
      </c>
      <c r="H43" s="167">
        <v>6580.51</v>
      </c>
      <c r="I43" s="167">
        <v>3776.26</v>
      </c>
      <c r="J43" s="167">
        <v>0</v>
      </c>
      <c r="K43" s="167">
        <v>0</v>
      </c>
      <c r="L43" s="167">
        <v>85217.86</v>
      </c>
      <c r="M43" s="167">
        <v>8.73</v>
      </c>
      <c r="N43" s="171" t="s">
        <v>110</v>
      </c>
      <c r="O43" s="171" t="s">
        <v>110</v>
      </c>
    </row>
    <row r="44" s="148" customFormat="1" ht="16.5" customHeight="1" outlineLevel="1" spans="1:15">
      <c r="A44" s="164">
        <v>6.3</v>
      </c>
      <c r="B44" s="165" t="s">
        <v>124</v>
      </c>
      <c r="C44" s="169">
        <v>2080677.19</v>
      </c>
      <c r="D44" s="166">
        <f t="shared" si="1"/>
        <v>208.067719</v>
      </c>
      <c r="E44" s="167">
        <v>2010461.88</v>
      </c>
      <c r="F44" s="167">
        <v>16934.93</v>
      </c>
      <c r="G44" s="167">
        <v>1789.97</v>
      </c>
      <c r="H44" s="167">
        <v>11679.62</v>
      </c>
      <c r="I44" s="167">
        <v>6930.45</v>
      </c>
      <c r="J44" s="167">
        <v>0</v>
      </c>
      <c r="K44" s="167">
        <v>0</v>
      </c>
      <c r="L44" s="167">
        <v>166001.84</v>
      </c>
      <c r="M44" s="167">
        <v>17.04</v>
      </c>
      <c r="N44" s="171" t="s">
        <v>110</v>
      </c>
      <c r="O44" s="171" t="s">
        <v>110</v>
      </c>
    </row>
    <row r="45" s="148" customFormat="1" ht="16.5" customHeight="1" outlineLevel="1" spans="1:15">
      <c r="A45" s="164">
        <v>6.4</v>
      </c>
      <c r="B45" s="165" t="s">
        <v>125</v>
      </c>
      <c r="C45" s="169">
        <v>1675286.1</v>
      </c>
      <c r="D45" s="166">
        <f t="shared" si="1"/>
        <v>167.52861</v>
      </c>
      <c r="E45" s="167">
        <v>1681338.96</v>
      </c>
      <c r="F45" s="167">
        <v>19542.41</v>
      </c>
      <c r="G45" s="167">
        <v>2187.73</v>
      </c>
      <c r="H45" s="167">
        <v>12346.71</v>
      </c>
      <c r="I45" s="167">
        <v>7052.88</v>
      </c>
      <c r="J45" s="167">
        <v>0</v>
      </c>
      <c r="K45" s="167">
        <v>0</v>
      </c>
      <c r="L45" s="167">
        <v>138402.6</v>
      </c>
      <c r="M45" s="167">
        <v>14.25</v>
      </c>
      <c r="N45" s="171" t="s">
        <v>110</v>
      </c>
      <c r="O45" s="171" t="s">
        <v>110</v>
      </c>
    </row>
    <row r="46" s="148" customFormat="1" ht="16.5" customHeight="1" outlineLevel="1" spans="1:15">
      <c r="A46" s="164">
        <v>6.5</v>
      </c>
      <c r="B46" s="165" t="s">
        <v>113</v>
      </c>
      <c r="C46" s="168">
        <v>158895</v>
      </c>
      <c r="D46" s="166">
        <f t="shared" si="1"/>
        <v>15.8895</v>
      </c>
      <c r="E46" s="167">
        <v>160035</v>
      </c>
      <c r="F46" s="167">
        <v>1360</v>
      </c>
      <c r="G46" s="167">
        <v>195</v>
      </c>
      <c r="H46" s="167">
        <v>320</v>
      </c>
      <c r="I46" s="167">
        <v>470</v>
      </c>
      <c r="J46" s="167">
        <v>0</v>
      </c>
      <c r="K46" s="167">
        <v>0</v>
      </c>
      <c r="L46" s="167">
        <v>13215</v>
      </c>
      <c r="M46" s="167">
        <v>1.36</v>
      </c>
      <c r="N46" s="171" t="s">
        <v>110</v>
      </c>
      <c r="O46" s="171" t="s">
        <v>110</v>
      </c>
    </row>
    <row r="47" s="148" customFormat="1" ht="16.5" customHeight="1" outlineLevel="1" spans="1:15">
      <c r="A47" s="164">
        <v>6.6</v>
      </c>
      <c r="B47" s="165" t="s">
        <v>114</v>
      </c>
      <c r="C47" s="169">
        <v>595814.5</v>
      </c>
      <c r="D47" s="166">
        <f t="shared" si="1"/>
        <v>59.58145</v>
      </c>
      <c r="E47" s="167">
        <v>598091</v>
      </c>
      <c r="F47" s="167">
        <v>3063.5</v>
      </c>
      <c r="G47" s="167">
        <v>296.5</v>
      </c>
      <c r="H47" s="167">
        <v>2562.5</v>
      </c>
      <c r="I47" s="167">
        <v>1367.5</v>
      </c>
      <c r="J47" s="167">
        <v>0</v>
      </c>
      <c r="K47" s="167">
        <v>0</v>
      </c>
      <c r="L47" s="167">
        <v>49388</v>
      </c>
      <c r="M47" s="167">
        <v>5.07</v>
      </c>
      <c r="N47" s="171" t="s">
        <v>110</v>
      </c>
      <c r="O47" s="171" t="s">
        <v>110</v>
      </c>
    </row>
    <row r="48" s="148" customFormat="1" ht="16.5" customHeight="1" outlineLevel="1" spans="1:15">
      <c r="A48" s="164">
        <v>6.7</v>
      </c>
      <c r="B48" s="165" t="s">
        <v>58</v>
      </c>
      <c r="C48" s="169">
        <v>556645.24</v>
      </c>
      <c r="D48" s="166">
        <f t="shared" si="1"/>
        <v>55.664524</v>
      </c>
      <c r="E48" s="167">
        <v>510683.7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4.33</v>
      </c>
      <c r="N48" s="171" t="s">
        <v>110</v>
      </c>
      <c r="O48" s="171" t="s">
        <v>110</v>
      </c>
    </row>
    <row r="49" s="150" customFormat="1" ht="16.5" customHeight="1" spans="1:15">
      <c r="A49" s="159">
        <v>7</v>
      </c>
      <c r="B49" s="160" t="s">
        <v>121</v>
      </c>
      <c r="C49" s="169">
        <v>8996950.45</v>
      </c>
      <c r="D49" s="162">
        <f t="shared" si="1"/>
        <v>899.695045</v>
      </c>
      <c r="E49" s="163">
        <v>8667448.16</v>
      </c>
      <c r="F49" s="163">
        <v>88769.09</v>
      </c>
      <c r="G49" s="163">
        <v>9604.05</v>
      </c>
      <c r="H49" s="163">
        <v>57039.14</v>
      </c>
      <c r="I49" s="163">
        <v>32993.04</v>
      </c>
      <c r="J49" s="163">
        <v>0</v>
      </c>
      <c r="K49" s="163">
        <v>0</v>
      </c>
      <c r="L49" s="163">
        <v>676399.9</v>
      </c>
      <c r="M49" s="163">
        <v>7.3</v>
      </c>
      <c r="N49" s="174" t="s">
        <v>110</v>
      </c>
      <c r="O49" s="174" t="s">
        <v>110</v>
      </c>
    </row>
    <row r="50" s="148" customFormat="1" ht="16.5" customHeight="1" outlineLevel="1" spans="1:15">
      <c r="A50" s="164">
        <v>7.1</v>
      </c>
      <c r="B50" s="165" t="s">
        <v>111</v>
      </c>
      <c r="C50" s="169">
        <v>5151218.91</v>
      </c>
      <c r="D50" s="166">
        <f t="shared" si="1"/>
        <v>515.121891</v>
      </c>
      <c r="E50" s="167">
        <v>4905909.04</v>
      </c>
      <c r="F50" s="167">
        <v>55244.74</v>
      </c>
      <c r="G50" s="167">
        <v>5926.87</v>
      </c>
      <c r="H50" s="167">
        <v>34955.41</v>
      </c>
      <c r="I50" s="167">
        <v>19982.7</v>
      </c>
      <c r="J50" s="167">
        <v>0</v>
      </c>
      <c r="K50" s="167">
        <v>0</v>
      </c>
      <c r="L50" s="167">
        <v>404998.26</v>
      </c>
      <c r="M50" s="167">
        <v>56.6</v>
      </c>
      <c r="N50" s="171" t="s">
        <v>110</v>
      </c>
      <c r="O50" s="171" t="s">
        <v>110</v>
      </c>
    </row>
    <row r="51" s="148" customFormat="1" ht="16.5" customHeight="1" outlineLevel="1" spans="1:15">
      <c r="A51" s="164">
        <v>7.2</v>
      </c>
      <c r="B51" s="165" t="s">
        <v>124</v>
      </c>
      <c r="C51" s="169">
        <v>933455.9</v>
      </c>
      <c r="D51" s="166">
        <f t="shared" si="1"/>
        <v>93.34559</v>
      </c>
      <c r="E51" s="167">
        <v>884716.71</v>
      </c>
      <c r="F51" s="167">
        <v>8762.48</v>
      </c>
      <c r="G51" s="167">
        <v>921.48</v>
      </c>
      <c r="H51" s="167">
        <v>6345.71</v>
      </c>
      <c r="I51" s="167">
        <v>3838.11</v>
      </c>
      <c r="J51" s="167">
        <v>0</v>
      </c>
      <c r="K51" s="167">
        <v>0</v>
      </c>
      <c r="L51" s="167">
        <v>73055.92</v>
      </c>
      <c r="M51" s="167">
        <v>10.21</v>
      </c>
      <c r="N51" s="171" t="s">
        <v>110</v>
      </c>
      <c r="O51" s="171" t="s">
        <v>110</v>
      </c>
    </row>
    <row r="52" s="148" customFormat="1" ht="16.5" customHeight="1" outlineLevel="1" spans="1:15">
      <c r="A52" s="164">
        <v>7.3</v>
      </c>
      <c r="B52" s="165" t="s">
        <v>125</v>
      </c>
      <c r="C52" s="168">
        <v>1649561.06</v>
      </c>
      <c r="D52" s="166">
        <f t="shared" si="1"/>
        <v>164.956106</v>
      </c>
      <c r="E52" s="167">
        <v>1652636.71</v>
      </c>
      <c r="F52" s="167">
        <v>20338.37</v>
      </c>
      <c r="G52" s="167">
        <v>2264.2</v>
      </c>
      <c r="H52" s="167">
        <v>12855.52</v>
      </c>
      <c r="I52" s="167">
        <v>7334.73</v>
      </c>
      <c r="J52" s="167">
        <v>0</v>
      </c>
      <c r="K52" s="167">
        <v>0</v>
      </c>
      <c r="L52" s="167">
        <v>135742.72</v>
      </c>
      <c r="M52" s="167">
        <v>19.07</v>
      </c>
      <c r="N52" s="171" t="s">
        <v>110</v>
      </c>
      <c r="O52" s="171" t="s">
        <v>110</v>
      </c>
    </row>
    <row r="53" s="148" customFormat="1" ht="16.5" customHeight="1" outlineLevel="1" spans="1:15">
      <c r="A53" s="164">
        <v>7.4</v>
      </c>
      <c r="B53" s="165" t="s">
        <v>113</v>
      </c>
      <c r="C53" s="169">
        <v>158895</v>
      </c>
      <c r="D53" s="166">
        <f t="shared" si="1"/>
        <v>15.8895</v>
      </c>
      <c r="E53" s="167">
        <v>160035</v>
      </c>
      <c r="F53" s="167">
        <v>1360</v>
      </c>
      <c r="G53" s="167">
        <v>195</v>
      </c>
      <c r="H53" s="167">
        <v>320</v>
      </c>
      <c r="I53" s="167">
        <v>470</v>
      </c>
      <c r="J53" s="167">
        <v>0</v>
      </c>
      <c r="K53" s="167">
        <v>0</v>
      </c>
      <c r="L53" s="167">
        <v>13215</v>
      </c>
      <c r="M53" s="167">
        <v>1.85</v>
      </c>
      <c r="N53" s="171" t="s">
        <v>110</v>
      </c>
      <c r="O53" s="171" t="s">
        <v>110</v>
      </c>
    </row>
    <row r="54" s="148" customFormat="1" ht="16.5" customHeight="1" outlineLevel="1" spans="1:15">
      <c r="A54" s="164">
        <v>7.5</v>
      </c>
      <c r="B54" s="165" t="s">
        <v>114</v>
      </c>
      <c r="C54" s="169">
        <v>595814.5</v>
      </c>
      <c r="D54" s="166">
        <f t="shared" si="1"/>
        <v>59.58145</v>
      </c>
      <c r="E54" s="167">
        <v>598091</v>
      </c>
      <c r="F54" s="167">
        <v>3063.5</v>
      </c>
      <c r="G54" s="167">
        <v>296.5</v>
      </c>
      <c r="H54" s="167">
        <v>2562.5</v>
      </c>
      <c r="I54" s="167">
        <v>1367.5</v>
      </c>
      <c r="J54" s="167">
        <v>0</v>
      </c>
      <c r="K54" s="167">
        <v>0</v>
      </c>
      <c r="L54" s="167">
        <v>49388</v>
      </c>
      <c r="M54" s="167">
        <v>6.9</v>
      </c>
      <c r="N54" s="171" t="s">
        <v>110</v>
      </c>
      <c r="O54" s="171" t="s">
        <v>110</v>
      </c>
    </row>
    <row r="55" s="148" customFormat="1" ht="16.5" customHeight="1" outlineLevel="1" spans="1:15">
      <c r="A55" s="164">
        <v>7.6</v>
      </c>
      <c r="B55" s="165" t="s">
        <v>58</v>
      </c>
      <c r="C55" s="169">
        <v>508005.08</v>
      </c>
      <c r="D55" s="166">
        <f t="shared" si="1"/>
        <v>50.800508</v>
      </c>
      <c r="E55" s="167">
        <v>466059.7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>
        <v>5.38</v>
      </c>
      <c r="N55" s="171" t="s">
        <v>110</v>
      </c>
      <c r="O55" s="171" t="s">
        <v>110</v>
      </c>
    </row>
    <row r="56" s="150" customFormat="1" ht="16.5" customHeight="1" spans="1:15">
      <c r="A56" s="159">
        <v>8</v>
      </c>
      <c r="B56" s="160" t="s">
        <v>15</v>
      </c>
      <c r="C56" s="163">
        <v>2000000</v>
      </c>
      <c r="D56" s="162">
        <f t="shared" si="1"/>
        <v>200</v>
      </c>
      <c r="E56" s="163">
        <v>1800000</v>
      </c>
      <c r="F56" s="163">
        <v>0</v>
      </c>
      <c r="G56" s="163">
        <v>3600</v>
      </c>
      <c r="H56" s="163">
        <v>0</v>
      </c>
      <c r="I56" s="163">
        <v>0</v>
      </c>
      <c r="J56" s="163">
        <v>0</v>
      </c>
      <c r="K56" s="163">
        <v>0</v>
      </c>
      <c r="L56" s="163">
        <v>0</v>
      </c>
      <c r="M56" s="163">
        <v>1.52</v>
      </c>
      <c r="N56" s="174" t="s">
        <v>110</v>
      </c>
      <c r="O56" s="174" t="s">
        <v>110</v>
      </c>
    </row>
    <row r="57" s="148" customFormat="1" ht="16.5" customHeight="1" outlineLevel="1" spans="1:15">
      <c r="A57" s="164">
        <v>8.1</v>
      </c>
      <c r="B57" s="165" t="s">
        <v>15</v>
      </c>
      <c r="C57" s="167">
        <v>2000000</v>
      </c>
      <c r="D57" s="166">
        <f t="shared" si="1"/>
        <v>200</v>
      </c>
      <c r="E57" s="167">
        <v>1800000</v>
      </c>
      <c r="F57" s="167">
        <v>0</v>
      </c>
      <c r="G57" s="167">
        <v>3600</v>
      </c>
      <c r="H57" s="167">
        <v>0</v>
      </c>
      <c r="I57" s="167">
        <v>0</v>
      </c>
      <c r="J57" s="167">
        <v>0</v>
      </c>
      <c r="K57" s="167">
        <v>0</v>
      </c>
      <c r="L57" s="167">
        <v>0</v>
      </c>
      <c r="M57" s="167">
        <v>100</v>
      </c>
      <c r="N57" s="171" t="s">
        <v>110</v>
      </c>
      <c r="O57" s="171" t="s">
        <v>110</v>
      </c>
    </row>
    <row r="58" s="150" customFormat="1" ht="16.5" customHeight="1" spans="1:15">
      <c r="A58" s="159">
        <v>9</v>
      </c>
      <c r="B58" s="160" t="s">
        <v>16</v>
      </c>
      <c r="C58" s="168">
        <v>5000320.5</v>
      </c>
      <c r="D58" s="162">
        <f t="shared" si="1"/>
        <v>500.03205</v>
      </c>
      <c r="E58" s="163">
        <v>3521420</v>
      </c>
      <c r="F58" s="163">
        <v>0</v>
      </c>
      <c r="G58" s="163">
        <v>4200</v>
      </c>
      <c r="H58" s="163">
        <v>0</v>
      </c>
      <c r="I58" s="163">
        <v>0</v>
      </c>
      <c r="J58" s="163">
        <v>0</v>
      </c>
      <c r="K58" s="163">
        <v>0</v>
      </c>
      <c r="L58" s="163">
        <v>0</v>
      </c>
      <c r="M58" s="163">
        <v>2.97</v>
      </c>
      <c r="N58" s="174" t="s">
        <v>110</v>
      </c>
      <c r="O58" s="174" t="s">
        <v>110</v>
      </c>
    </row>
    <row r="59" s="148" customFormat="1" ht="16.5" customHeight="1" outlineLevel="1" spans="1:15">
      <c r="A59" s="164">
        <v>9.1</v>
      </c>
      <c r="B59" s="165" t="s">
        <v>16</v>
      </c>
      <c r="C59" s="169">
        <v>5000320.5</v>
      </c>
      <c r="D59" s="166">
        <f t="shared" si="1"/>
        <v>500.03205</v>
      </c>
      <c r="E59" s="167">
        <v>3521420</v>
      </c>
      <c r="F59" s="167">
        <v>0</v>
      </c>
      <c r="G59" s="167">
        <v>4200</v>
      </c>
      <c r="H59" s="167">
        <v>0</v>
      </c>
      <c r="I59" s="167">
        <v>0</v>
      </c>
      <c r="J59" s="167">
        <v>0</v>
      </c>
      <c r="K59" s="167">
        <v>0</v>
      </c>
      <c r="L59" s="167">
        <v>0</v>
      </c>
      <c r="M59" s="167">
        <v>100</v>
      </c>
      <c r="N59" s="171" t="s">
        <v>110</v>
      </c>
      <c r="O59" s="171" t="s">
        <v>110</v>
      </c>
    </row>
    <row r="60" s="148" customFormat="1" ht="16.5" customHeight="1" spans="1:15">
      <c r="A60" s="170" t="s">
        <v>110</v>
      </c>
      <c r="B60" s="165" t="s">
        <v>110</v>
      </c>
      <c r="C60" s="171" t="s">
        <v>110</v>
      </c>
      <c r="D60" s="172"/>
      <c r="E60" s="171" t="s">
        <v>110</v>
      </c>
      <c r="F60" s="171" t="s">
        <v>110</v>
      </c>
      <c r="G60" s="171" t="s">
        <v>110</v>
      </c>
      <c r="H60" s="171" t="s">
        <v>110</v>
      </c>
      <c r="I60" s="171" t="s">
        <v>110</v>
      </c>
      <c r="J60" s="171" t="s">
        <v>110</v>
      </c>
      <c r="K60" s="171" t="s">
        <v>110</v>
      </c>
      <c r="L60" s="171" t="s">
        <v>110</v>
      </c>
      <c r="M60" s="171" t="s">
        <v>110</v>
      </c>
      <c r="N60" s="171" t="s">
        <v>110</v>
      </c>
      <c r="O60" s="171" t="s">
        <v>110</v>
      </c>
    </row>
    <row r="61" s="148" customFormat="1" ht="16.5" customHeight="1" spans="1:15">
      <c r="A61" s="170" t="s">
        <v>110</v>
      </c>
      <c r="B61" s="165" t="s">
        <v>122</v>
      </c>
      <c r="C61" s="167">
        <v>125958700.37</v>
      </c>
      <c r="D61" s="157"/>
      <c r="E61" s="167">
        <v>118666680.72</v>
      </c>
      <c r="F61" s="167">
        <v>994601.78</v>
      </c>
      <c r="G61" s="167">
        <v>119743.38</v>
      </c>
      <c r="H61" s="167">
        <v>664447.19</v>
      </c>
      <c r="I61" s="167">
        <v>389802.59</v>
      </c>
      <c r="J61" s="167">
        <v>0</v>
      </c>
      <c r="K61" s="167">
        <v>0</v>
      </c>
      <c r="L61" s="167">
        <v>8614331.49</v>
      </c>
      <c r="M61" s="171" t="s">
        <v>110</v>
      </c>
      <c r="N61" s="171" t="s">
        <v>110</v>
      </c>
      <c r="O61" s="171" t="s">
        <v>110</v>
      </c>
    </row>
  </sheetData>
  <mergeCells count="9">
    <mergeCell ref="F1:J1"/>
    <mergeCell ref="A1:A2"/>
    <mergeCell ref="B1:B2"/>
    <mergeCell ref="C1:C2"/>
    <mergeCell ref="D1:D2"/>
    <mergeCell ref="L1:L2"/>
    <mergeCell ref="M1:M2"/>
    <mergeCell ref="N1:N2"/>
    <mergeCell ref="O1:O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253"/>
  <sheetViews>
    <sheetView workbookViewId="0">
      <pane ySplit="3" topLeftCell="A215" activePane="bottomLeft" state="frozen"/>
      <selection/>
      <selection pane="bottomLeft" activeCell="I208" sqref="I208"/>
    </sheetView>
  </sheetViews>
  <sheetFormatPr defaultColWidth="8.89166666666667" defaultRowHeight="14.25"/>
  <cols>
    <col min="1" max="1" width="8.89166666666667" style="99"/>
    <col min="2" max="2" width="32.8166666666667" style="99" customWidth="1"/>
    <col min="3" max="3" width="12.5916666666667" style="99"/>
    <col min="4" max="4" width="12.875" style="99" customWidth="1"/>
    <col min="5" max="5" width="9.76666666666667" style="99" customWidth="1"/>
    <col min="6" max="6" width="12.825" style="99"/>
    <col min="7" max="7" width="8.89166666666667" style="99"/>
    <col min="8" max="8" width="12.5916666666667" style="99"/>
    <col min="9" max="9" width="13.6833333333333" style="100"/>
    <col min="10" max="10" width="7.875" style="99" customWidth="1"/>
    <col min="11" max="11" width="26.175" style="101" customWidth="1"/>
    <col min="12" max="12" width="8.89166666666667" style="97"/>
    <col min="13" max="13" width="13.5416666666667" style="97"/>
    <col min="14" max="14" width="10.8666666666667" style="97" customWidth="1"/>
    <col min="15" max="18" width="12.8" style="97"/>
    <col min="19" max="19" width="10.525" style="97"/>
    <col min="20" max="16384" width="8.89166666666667" style="97"/>
  </cols>
  <sheetData>
    <row r="1" s="97" customFormat="1" ht="21" spans="1:11">
      <c r="A1" s="102" t="s">
        <v>126</v>
      </c>
      <c r="B1" s="102"/>
      <c r="C1" s="102"/>
      <c r="D1" s="102"/>
      <c r="E1" s="102"/>
      <c r="F1" s="102"/>
      <c r="G1" s="102"/>
      <c r="H1" s="102"/>
      <c r="I1" s="118"/>
      <c r="J1" s="102"/>
      <c r="K1" s="102"/>
    </row>
    <row r="2" s="97" customFormat="1" spans="1:11">
      <c r="A2" s="103" t="s">
        <v>36</v>
      </c>
      <c r="B2" s="104" t="s">
        <v>37</v>
      </c>
      <c r="C2" s="105" t="s">
        <v>38</v>
      </c>
      <c r="D2" s="105"/>
      <c r="E2" s="105"/>
      <c r="F2" s="105"/>
      <c r="G2" s="105" t="s">
        <v>39</v>
      </c>
      <c r="H2" s="105"/>
      <c r="I2" s="105"/>
      <c r="J2" s="119" t="s">
        <v>40</v>
      </c>
      <c r="K2" s="120" t="s">
        <v>41</v>
      </c>
    </row>
    <row r="3" s="97" customFormat="1" ht="24" spans="1:11">
      <c r="A3" s="106"/>
      <c r="B3" s="107"/>
      <c r="C3" s="108" t="s">
        <v>42</v>
      </c>
      <c r="D3" s="108" t="s">
        <v>43</v>
      </c>
      <c r="E3" s="108" t="s">
        <v>44</v>
      </c>
      <c r="F3" s="108" t="s">
        <v>45</v>
      </c>
      <c r="G3" s="108" t="s">
        <v>46</v>
      </c>
      <c r="H3" s="108" t="s">
        <v>47</v>
      </c>
      <c r="I3" s="108" t="s">
        <v>48</v>
      </c>
      <c r="J3" s="121"/>
      <c r="K3" s="122"/>
    </row>
    <row r="4" s="97" customFormat="1" spans="1:11">
      <c r="A4" s="106"/>
      <c r="B4" s="107"/>
      <c r="C4" s="108"/>
      <c r="D4" s="108"/>
      <c r="E4" s="108"/>
      <c r="F4" s="108"/>
      <c r="G4" s="108"/>
      <c r="H4" s="108"/>
      <c r="I4" s="108"/>
      <c r="J4" s="121"/>
      <c r="K4" s="123"/>
    </row>
    <row r="5" s="97" customFormat="1" spans="1:16">
      <c r="A5" s="109" t="s">
        <v>6</v>
      </c>
      <c r="B5" s="110" t="s">
        <v>7</v>
      </c>
      <c r="C5" s="111">
        <f>C6+C38+C69+C102+C141+C173+C208+C230</f>
        <v>12811.4733247692</v>
      </c>
      <c r="D5" s="111"/>
      <c r="E5" s="111"/>
      <c r="F5" s="111">
        <f t="shared" ref="F5:F57" si="0">SUM(C5:E5)</f>
        <v>12811.4733247692</v>
      </c>
      <c r="G5" s="111"/>
      <c r="H5" s="111"/>
      <c r="I5" s="111"/>
      <c r="J5" s="124">
        <f>F5/F251</f>
        <v>0.82936197167289</v>
      </c>
      <c r="K5" s="123"/>
      <c r="L5" s="97">
        <v>9198</v>
      </c>
      <c r="M5" s="97">
        <f>F5-L5</f>
        <v>3613.47332476923</v>
      </c>
      <c r="P5" s="125"/>
    </row>
    <row r="6" s="97" customFormat="1" ht="18" customHeight="1" spans="1:13">
      <c r="A6" s="109" t="s">
        <v>50</v>
      </c>
      <c r="B6" s="110" t="s">
        <v>8</v>
      </c>
      <c r="C6" s="111">
        <f>C7+C16+C37</f>
        <v>2090.47760943763</v>
      </c>
      <c r="D6" s="111"/>
      <c r="E6" s="111"/>
      <c r="F6" s="111">
        <f t="shared" si="0"/>
        <v>2090.47760943763</v>
      </c>
      <c r="G6" s="111" t="s">
        <v>49</v>
      </c>
      <c r="H6" s="111">
        <f>H16</f>
        <v>6092</v>
      </c>
      <c r="I6" s="111">
        <f>F6/H6*10000</f>
        <v>3431.5128191688</v>
      </c>
      <c r="J6" s="126"/>
      <c r="K6" s="123"/>
      <c r="M6" s="127">
        <f>M5/L5+1</f>
        <v>1.39285424274508</v>
      </c>
    </row>
    <row r="7" s="97" customFormat="1" spans="1:11">
      <c r="A7" s="112">
        <v>1</v>
      </c>
      <c r="B7" s="110" t="s">
        <v>51</v>
      </c>
      <c r="C7" s="111">
        <f>SUM(C8:C15)</f>
        <v>972.099506153846</v>
      </c>
      <c r="D7" s="111"/>
      <c r="E7" s="111"/>
      <c r="F7" s="111">
        <f t="shared" si="0"/>
        <v>972.099506153846</v>
      </c>
      <c r="G7" s="111" t="s">
        <v>52</v>
      </c>
      <c r="H7" s="111">
        <f>H15</f>
        <v>32982.08</v>
      </c>
      <c r="I7" s="128">
        <f>F7/H7*10000</f>
        <v>294.735658319259</v>
      </c>
      <c r="J7" s="126"/>
      <c r="K7" s="123"/>
    </row>
    <row r="8" s="97" customFormat="1" ht="48" customHeight="1" spans="1:13">
      <c r="A8" s="113">
        <v>1.1</v>
      </c>
      <c r="B8" s="114" t="str">
        <f>道路!B4</f>
        <v>路面破除</v>
      </c>
      <c r="C8" s="108">
        <f t="shared" ref="C8:C15" si="1">I8*H8/10000</f>
        <v>82.9128461538461</v>
      </c>
      <c r="D8" s="108"/>
      <c r="E8" s="108"/>
      <c r="F8" s="108">
        <f t="shared" si="0"/>
        <v>82.9128461538461</v>
      </c>
      <c r="G8" s="108" t="str">
        <f>道路!C4</f>
        <v>m2</v>
      </c>
      <c r="H8" s="115">
        <f>道路!D4</f>
        <v>19960.5</v>
      </c>
      <c r="I8" s="129">
        <f>道路!E4</f>
        <v>41.5384615384615</v>
      </c>
      <c r="J8" s="126"/>
      <c r="K8" s="114" t="str">
        <f>道路!G4</f>
        <v>厚度按0.54m</v>
      </c>
      <c r="M8" s="130">
        <v>12066.4733247692</v>
      </c>
    </row>
    <row r="9" s="97" customFormat="1" ht="36" spans="1:19">
      <c r="A9" s="113">
        <v>1.2</v>
      </c>
      <c r="B9" s="114" t="str">
        <f>道路!B5</f>
        <v>路面恢复(破除宽大于3m)</v>
      </c>
      <c r="C9" s="108">
        <f t="shared" si="1"/>
        <v>359.289</v>
      </c>
      <c r="D9" s="108"/>
      <c r="E9" s="108"/>
      <c r="F9" s="108">
        <f t="shared" si="0"/>
        <v>359.289</v>
      </c>
      <c r="G9" s="108" t="str">
        <f>道路!C5</f>
        <v>m2</v>
      </c>
      <c r="H9" s="115">
        <f>道路!D5</f>
        <v>19960.5</v>
      </c>
      <c r="I9" s="129">
        <f>道路!E5</f>
        <v>180</v>
      </c>
      <c r="J9" s="131"/>
      <c r="K9" s="114" t="str">
        <f>道路!G5</f>
        <v>18cm水泥稳定碎石(5%)+18cm水泥稳定碎石(4%)+18cm水泥石灰综合稳定土(2:10:88，厂拌)</v>
      </c>
      <c r="M9" s="97">
        <v>1996.97150615385</v>
      </c>
      <c r="N9" s="97">
        <v>1012.25948076923</v>
      </c>
      <c r="O9" s="97">
        <v>2788.84831615385</v>
      </c>
      <c r="P9" s="97">
        <v>3587.470414</v>
      </c>
      <c r="Q9" s="97">
        <v>1501.73588846154</v>
      </c>
      <c r="R9" s="97">
        <v>661.152519230769</v>
      </c>
      <c r="S9" s="97">
        <v>518.0352</v>
      </c>
    </row>
    <row r="10" s="97" customFormat="1" ht="36" customHeight="1" spans="1:19">
      <c r="A10" s="113">
        <v>1.3</v>
      </c>
      <c r="B10" s="114" t="str">
        <f>道路!B6</f>
        <v>机制C30砼路缘石15x40x100cm</v>
      </c>
      <c r="C10" s="108">
        <f t="shared" si="1"/>
        <v>29.04825</v>
      </c>
      <c r="D10" s="108"/>
      <c r="E10" s="108"/>
      <c r="F10" s="108">
        <f t="shared" si="0"/>
        <v>29.04825</v>
      </c>
      <c r="G10" s="108" t="str">
        <f>道路!C6</f>
        <v>m</v>
      </c>
      <c r="H10" s="115">
        <f>道路!D6</f>
        <v>3873.1</v>
      </c>
      <c r="I10" s="129">
        <f>道路!E6</f>
        <v>75</v>
      </c>
      <c r="J10" s="131"/>
      <c r="K10" s="114"/>
      <c r="M10" s="127">
        <f t="shared" ref="M10:S10" si="2">M9/$M$8</f>
        <v>0.165497527935906</v>
      </c>
      <c r="N10" s="127">
        <f t="shared" si="2"/>
        <v>0.0838902514035593</v>
      </c>
      <c r="O10" s="127">
        <f t="shared" si="2"/>
        <v>0.23112372945201</v>
      </c>
      <c r="P10" s="127">
        <f t="shared" si="2"/>
        <v>0.297308941680242</v>
      </c>
      <c r="Q10" s="127">
        <f t="shared" si="2"/>
        <v>0.124455244547625</v>
      </c>
      <c r="R10" s="127">
        <f t="shared" si="2"/>
        <v>0.0547925231702624</v>
      </c>
      <c r="S10" s="127">
        <f t="shared" si="2"/>
        <v>0.0429317818103997</v>
      </c>
    </row>
    <row r="11" s="97" customFormat="1" ht="23" customHeight="1" spans="1:13">
      <c r="A11" s="113">
        <v>1.4</v>
      </c>
      <c r="B11" s="114" t="str">
        <f>道路!B7</f>
        <v>人行道破除</v>
      </c>
      <c r="C11" s="108">
        <f t="shared" si="1"/>
        <v>10.11714</v>
      </c>
      <c r="D11" s="108"/>
      <c r="E11" s="108"/>
      <c r="F11" s="108">
        <f t="shared" si="0"/>
        <v>10.11714</v>
      </c>
      <c r="G11" s="108" t="str">
        <f>道路!C7</f>
        <v>m2</v>
      </c>
      <c r="H11" s="115">
        <f>道路!D7</f>
        <v>3372.38</v>
      </c>
      <c r="I11" s="129">
        <f>道路!E7</f>
        <v>30</v>
      </c>
      <c r="J11" s="131"/>
      <c r="K11" s="114"/>
      <c r="M11" s="97">
        <v>5650000</v>
      </c>
    </row>
    <row r="12" s="97" customFormat="1" ht="36" spans="1:19">
      <c r="A12" s="113">
        <v>1.5</v>
      </c>
      <c r="B12" s="114" t="str">
        <f>道路!B8</f>
        <v>人行道恢复</v>
      </c>
      <c r="C12" s="108">
        <f t="shared" si="1"/>
        <v>55.64427</v>
      </c>
      <c r="D12" s="108"/>
      <c r="E12" s="108"/>
      <c r="F12" s="108">
        <f t="shared" si="0"/>
        <v>55.64427</v>
      </c>
      <c r="G12" s="108" t="str">
        <f>道路!C8</f>
        <v>m2</v>
      </c>
      <c r="H12" s="115">
        <f>道路!D8</f>
        <v>3372.38</v>
      </c>
      <c r="I12" s="129">
        <f>道路!E8</f>
        <v>165</v>
      </c>
      <c r="J12" s="131"/>
      <c r="K12" s="114" t="str">
        <f>道路!G8</f>
        <v>6cm 厚砂基透水砖+3cm 厚 M10 干硬性水泥砂浆+15cm厚C20透水混凝土+15cm 厚级配碎石</v>
      </c>
      <c r="M12" s="130">
        <f t="shared" ref="M12:S12" si="3">$M$11*M10</f>
        <v>935061.032837866</v>
      </c>
      <c r="N12" s="130">
        <f t="shared" si="3"/>
        <v>473979.92043011</v>
      </c>
      <c r="O12" s="130">
        <f t="shared" si="3"/>
        <v>1305849.07140386</v>
      </c>
      <c r="P12" s="130">
        <f t="shared" si="3"/>
        <v>1679795.52049337</v>
      </c>
      <c r="Q12" s="130">
        <f t="shared" si="3"/>
        <v>703172.131694079</v>
      </c>
      <c r="R12" s="130">
        <f t="shared" si="3"/>
        <v>309577.755911982</v>
      </c>
      <c r="S12" s="130">
        <f t="shared" si="3"/>
        <v>242564.567228759</v>
      </c>
    </row>
    <row r="13" s="97" customFormat="1" ht="25" customHeight="1" spans="1:11">
      <c r="A13" s="113">
        <v>1.6</v>
      </c>
      <c r="B13" s="114" t="str">
        <f>道路!B9</f>
        <v>侧分带破除</v>
      </c>
      <c r="C13" s="108">
        <f t="shared" si="1"/>
        <v>28.9476</v>
      </c>
      <c r="D13" s="108"/>
      <c r="E13" s="108"/>
      <c r="F13" s="108">
        <f t="shared" si="0"/>
        <v>28.9476</v>
      </c>
      <c r="G13" s="108" t="str">
        <f>道路!C9</f>
        <v>m2</v>
      </c>
      <c r="H13" s="115">
        <f>道路!D9</f>
        <v>9649.2</v>
      </c>
      <c r="I13" s="129">
        <f>道路!E9</f>
        <v>30</v>
      </c>
      <c r="J13" s="131"/>
      <c r="K13" s="114"/>
    </row>
    <row r="14" s="97" customFormat="1" spans="1:11">
      <c r="A14" s="113">
        <v>1.7</v>
      </c>
      <c r="B14" s="114" t="str">
        <f>道路!B10</f>
        <v>侧分带恢复</v>
      </c>
      <c r="C14" s="108">
        <f t="shared" si="1"/>
        <v>241.23</v>
      </c>
      <c r="D14" s="108"/>
      <c r="E14" s="108"/>
      <c r="F14" s="108">
        <f t="shared" si="0"/>
        <v>241.23</v>
      </c>
      <c r="G14" s="108" t="str">
        <f>道路!C10</f>
        <v>m2</v>
      </c>
      <c r="H14" s="115">
        <f>道路!D10</f>
        <v>9649.2</v>
      </c>
      <c r="I14" s="129">
        <f>道路!E10</f>
        <v>250</v>
      </c>
      <c r="J14" s="131"/>
      <c r="K14" s="114"/>
    </row>
    <row r="15" s="97" customFormat="1" ht="18" customHeight="1" spans="1:11">
      <c r="A15" s="113">
        <v>1.8</v>
      </c>
      <c r="B15" s="114" t="str">
        <f>道路!B11</f>
        <v>施工措施项目费</v>
      </c>
      <c r="C15" s="108">
        <f t="shared" si="1"/>
        <v>164.9104</v>
      </c>
      <c r="D15" s="108"/>
      <c r="E15" s="108"/>
      <c r="F15" s="108">
        <f t="shared" si="0"/>
        <v>164.9104</v>
      </c>
      <c r="G15" s="108" t="str">
        <f>道路!C11</f>
        <v>m2</v>
      </c>
      <c r="H15" s="115">
        <f>道路!D11</f>
        <v>32982.08</v>
      </c>
      <c r="I15" s="129">
        <f>道路!E11</f>
        <v>50</v>
      </c>
      <c r="J15" s="131"/>
      <c r="K15" s="114"/>
    </row>
    <row r="16" s="98" customFormat="1" ht="21" customHeight="1" spans="1:11">
      <c r="A16" s="112">
        <v>2</v>
      </c>
      <c r="B16" s="110" t="s">
        <v>53</v>
      </c>
      <c r="C16" s="111">
        <f>C17+C27+C33</f>
        <v>1024.872</v>
      </c>
      <c r="D16" s="111"/>
      <c r="E16" s="111"/>
      <c r="F16" s="111">
        <f t="shared" si="0"/>
        <v>1024.872</v>
      </c>
      <c r="G16" s="111" t="s">
        <v>49</v>
      </c>
      <c r="H16" s="111">
        <f>H17+H27+H33</f>
        <v>6092</v>
      </c>
      <c r="I16" s="128">
        <f>F16/H16*10000</f>
        <v>1682.32435981615</v>
      </c>
      <c r="J16" s="132"/>
      <c r="K16" s="133"/>
    </row>
    <row r="17" s="98" customFormat="1" ht="45" customHeight="1" spans="1:11">
      <c r="A17" s="112">
        <v>2.1</v>
      </c>
      <c r="B17" s="110" t="s">
        <v>55</v>
      </c>
      <c r="C17" s="111">
        <f>SUM(C18:C26)</f>
        <v>423.652</v>
      </c>
      <c r="D17" s="111"/>
      <c r="E17" s="111"/>
      <c r="F17" s="111">
        <f t="shared" si="0"/>
        <v>423.652</v>
      </c>
      <c r="G17" s="111" t="s">
        <v>49</v>
      </c>
      <c r="H17" s="111">
        <f>SUM(H18:H22)</f>
        <v>2842</v>
      </c>
      <c r="I17" s="128">
        <f>C17/H17*10000</f>
        <v>1490.68261787474</v>
      </c>
      <c r="J17" s="132"/>
      <c r="K17" s="133"/>
    </row>
    <row r="18" s="98" customFormat="1" ht="36" customHeight="1" spans="1:11">
      <c r="A18" s="113" t="s">
        <v>127</v>
      </c>
      <c r="B18" s="116" t="str">
        <f>给排水!C4</f>
        <v>II级钢筋混凝土管d300</v>
      </c>
      <c r="C18" s="108">
        <f t="shared" ref="C18:C26" si="4">H18*I18/10000</f>
        <v>19.6</v>
      </c>
      <c r="D18" s="108"/>
      <c r="E18" s="108"/>
      <c r="F18" s="108">
        <f t="shared" si="0"/>
        <v>19.6</v>
      </c>
      <c r="G18" s="108" t="str">
        <f>给排水!E4</f>
        <v>m</v>
      </c>
      <c r="H18" s="108">
        <f>给排水!D4</f>
        <v>1400</v>
      </c>
      <c r="I18" s="115">
        <f>给排水!F4</f>
        <v>140</v>
      </c>
      <c r="J18" s="132"/>
      <c r="K18" s="114" t="str">
        <f>给排水!H4</f>
        <v>雨水口连接管</v>
      </c>
    </row>
    <row r="19" s="98" customFormat="1" ht="36" customHeight="1" spans="1:11">
      <c r="A19" s="113" t="s">
        <v>128</v>
      </c>
      <c r="B19" s="116" t="str">
        <f>给排水!C5</f>
        <v>II级钢筋混凝土管d600</v>
      </c>
      <c r="C19" s="108">
        <f t="shared" si="4"/>
        <v>14.638</v>
      </c>
      <c r="D19" s="108"/>
      <c r="E19" s="108"/>
      <c r="F19" s="108">
        <f t="shared" si="0"/>
        <v>14.638</v>
      </c>
      <c r="G19" s="108" t="str">
        <f>给排水!E5</f>
        <v>m</v>
      </c>
      <c r="H19" s="108">
        <f>给排水!D5</f>
        <v>260</v>
      </c>
      <c r="I19" s="115">
        <f>给排水!F5</f>
        <v>563</v>
      </c>
      <c r="J19" s="132"/>
      <c r="K19" s="114" t="str">
        <f>给排水!H5</f>
        <v>地块预留支管</v>
      </c>
    </row>
    <row r="20" s="98" customFormat="1" ht="36" customHeight="1" spans="1:11">
      <c r="A20" s="113" t="s">
        <v>129</v>
      </c>
      <c r="B20" s="116" t="str">
        <f>给排水!C6</f>
        <v>II级钢筋混凝土管d1000</v>
      </c>
      <c r="C20" s="108">
        <f t="shared" si="4"/>
        <v>44.1</v>
      </c>
      <c r="D20" s="108"/>
      <c r="E20" s="108"/>
      <c r="F20" s="108">
        <f t="shared" si="0"/>
        <v>44.1</v>
      </c>
      <c r="G20" s="108" t="str">
        <f>给排水!E6</f>
        <v>m</v>
      </c>
      <c r="H20" s="108">
        <f>给排水!D6</f>
        <v>450</v>
      </c>
      <c r="I20" s="115">
        <f>给排水!F6</f>
        <v>980</v>
      </c>
      <c r="J20" s="132"/>
      <c r="K20" s="114"/>
    </row>
    <row r="21" s="98" customFormat="1" ht="36" customHeight="1" spans="1:11">
      <c r="A21" s="113" t="s">
        <v>130</v>
      </c>
      <c r="B21" s="116" t="str">
        <f>给排水!C7</f>
        <v>II级钢筋混凝土管d1200</v>
      </c>
      <c r="C21" s="108">
        <f t="shared" si="4"/>
        <v>92.16</v>
      </c>
      <c r="D21" s="108"/>
      <c r="E21" s="108"/>
      <c r="F21" s="108">
        <f t="shared" si="0"/>
        <v>92.16</v>
      </c>
      <c r="G21" s="108" t="str">
        <f>给排水!E7</f>
        <v>m</v>
      </c>
      <c r="H21" s="108">
        <f>给排水!D7</f>
        <v>720</v>
      </c>
      <c r="I21" s="115">
        <f>给排水!F7</f>
        <v>1280</v>
      </c>
      <c r="J21" s="132"/>
      <c r="K21" s="114"/>
    </row>
    <row r="22" s="98" customFormat="1" ht="36" customHeight="1" spans="1:11">
      <c r="A22" s="113" t="s">
        <v>131</v>
      </c>
      <c r="B22" s="116" t="str">
        <f>给排水!C8</f>
        <v>II级钢筋混凝土管d1500</v>
      </c>
      <c r="C22" s="108">
        <f t="shared" si="4"/>
        <v>2.334</v>
      </c>
      <c r="D22" s="108"/>
      <c r="E22" s="108"/>
      <c r="F22" s="108">
        <f t="shared" si="0"/>
        <v>2.334</v>
      </c>
      <c r="G22" s="108" t="str">
        <f>给排水!E8</f>
        <v>m</v>
      </c>
      <c r="H22" s="108">
        <f>给排水!D8</f>
        <v>12</v>
      </c>
      <c r="I22" s="115">
        <f>给排水!F8</f>
        <v>1945</v>
      </c>
      <c r="J22" s="132"/>
      <c r="K22" s="114"/>
    </row>
    <row r="23" s="98" customFormat="1" ht="36" customHeight="1" spans="1:11">
      <c r="A23" s="113" t="s">
        <v>132</v>
      </c>
      <c r="B23" s="116" t="str">
        <f>给排水!C9</f>
        <v>雨水检查井</v>
      </c>
      <c r="C23" s="108">
        <f t="shared" si="4"/>
        <v>48</v>
      </c>
      <c r="D23" s="108"/>
      <c r="E23" s="108"/>
      <c r="F23" s="108">
        <f t="shared" si="0"/>
        <v>48</v>
      </c>
      <c r="G23" s="108" t="str">
        <f>给排水!E9</f>
        <v>座</v>
      </c>
      <c r="H23" s="108">
        <f>给排水!D9</f>
        <v>60</v>
      </c>
      <c r="I23" s="115">
        <f>给排水!F9</f>
        <v>8000</v>
      </c>
      <c r="J23" s="132"/>
      <c r="K23" s="114" t="str">
        <f>给排水!H9</f>
        <v>钢筋混凝土检查井，详见图集04S531-5</v>
      </c>
    </row>
    <row r="24" s="98" customFormat="1" ht="36" customHeight="1" spans="1:11">
      <c r="A24" s="113" t="s">
        <v>133</v>
      </c>
      <c r="B24" s="116" t="str">
        <f>给排水!C10</f>
        <v>双箅雨水口</v>
      </c>
      <c r="C24" s="108">
        <f t="shared" si="4"/>
        <v>8.8</v>
      </c>
      <c r="D24" s="108"/>
      <c r="E24" s="108"/>
      <c r="F24" s="108">
        <f t="shared" si="0"/>
        <v>8.8</v>
      </c>
      <c r="G24" s="108" t="str">
        <f>给排水!E10</f>
        <v>座</v>
      </c>
      <c r="H24" s="108">
        <f>给排水!D10</f>
        <v>80</v>
      </c>
      <c r="I24" s="115">
        <f>给排水!F10</f>
        <v>1100</v>
      </c>
      <c r="J24" s="132"/>
      <c r="K24" s="114" t="str">
        <f>给排水!H10</f>
        <v>参16S518-P43</v>
      </c>
    </row>
    <row r="25" s="98" customFormat="1" ht="36" customHeight="1" spans="1:11">
      <c r="A25" s="113" t="s">
        <v>134</v>
      </c>
      <c r="B25" s="116" t="str">
        <f>给排水!C11</f>
        <v>挖方</v>
      </c>
      <c r="C25" s="108">
        <f t="shared" si="4"/>
        <v>162.02</v>
      </c>
      <c r="D25" s="108"/>
      <c r="E25" s="108"/>
      <c r="F25" s="108">
        <f t="shared" si="0"/>
        <v>162.02</v>
      </c>
      <c r="G25" s="108" t="str">
        <f>给排水!E11</f>
        <v>m3</v>
      </c>
      <c r="H25" s="108">
        <f>给排水!D11</f>
        <v>17620</v>
      </c>
      <c r="I25" s="115">
        <f>给排水!F11</f>
        <v>91.9523269012486</v>
      </c>
      <c r="J25" s="132"/>
      <c r="K25" s="114" t="str">
        <f>给排水!H11</f>
        <v>注：表中土石方量仅供参考，以现场实际开挖量为准。</v>
      </c>
    </row>
    <row r="26" s="98" customFormat="1" ht="36" customHeight="1" spans="1:11">
      <c r="A26" s="113" t="s">
        <v>135</v>
      </c>
      <c r="B26" s="116" t="str">
        <f>给排水!C12</f>
        <v>填方</v>
      </c>
      <c r="C26" s="108">
        <f t="shared" si="4"/>
        <v>32</v>
      </c>
      <c r="D26" s="108"/>
      <c r="E26" s="108"/>
      <c r="F26" s="108">
        <f t="shared" si="0"/>
        <v>32</v>
      </c>
      <c r="G26" s="108" t="str">
        <f>给排水!E12</f>
        <v>m3</v>
      </c>
      <c r="H26" s="108">
        <f>给排水!D12</f>
        <v>16000</v>
      </c>
      <c r="I26" s="115">
        <f>给排水!F12</f>
        <v>20</v>
      </c>
      <c r="J26" s="132"/>
      <c r="K26" s="114" t="str">
        <f>给排水!H12</f>
        <v>注：表中土石方量仅供参考，以现场实际开挖量为准。</v>
      </c>
    </row>
    <row r="27" s="98" customFormat="1" ht="36" customHeight="1" spans="1:11">
      <c r="A27" s="112">
        <v>2.2</v>
      </c>
      <c r="B27" s="110" t="s">
        <v>56</v>
      </c>
      <c r="C27" s="111">
        <f>SUM(C28:C32)</f>
        <v>567.72</v>
      </c>
      <c r="D27" s="111"/>
      <c r="E27" s="111"/>
      <c r="F27" s="111">
        <f t="shared" si="0"/>
        <v>567.72</v>
      </c>
      <c r="G27" s="111" t="s">
        <v>49</v>
      </c>
      <c r="H27" s="111">
        <f>SUM(H28:H29)</f>
        <v>2950</v>
      </c>
      <c r="I27" s="128">
        <f>C27/H27*10000</f>
        <v>1924.47457627119</v>
      </c>
      <c r="J27" s="134"/>
      <c r="K27" s="133"/>
    </row>
    <row r="28" s="97" customFormat="1" ht="36" customHeight="1" spans="1:11">
      <c r="A28" s="113" t="s">
        <v>136</v>
      </c>
      <c r="B28" s="116" t="str">
        <f>给排水!C13</f>
        <v>新型钢带增强聚乙烯螺旋波纹管d400</v>
      </c>
      <c r="C28" s="108">
        <f t="shared" ref="C28:C32" si="5">H28*I28/10000</f>
        <v>45</v>
      </c>
      <c r="D28" s="108"/>
      <c r="E28" s="108"/>
      <c r="F28" s="108">
        <f t="shared" si="0"/>
        <v>45</v>
      </c>
      <c r="G28" s="108" t="str">
        <f>给排水!E13</f>
        <v>m</v>
      </c>
      <c r="H28" s="108">
        <f>给排水!D13</f>
        <v>2250</v>
      </c>
      <c r="I28" s="115">
        <f>给排水!F13</f>
        <v>200</v>
      </c>
      <c r="J28" s="131"/>
      <c r="K28" s="114"/>
    </row>
    <row r="29" s="98" customFormat="1" ht="36" customHeight="1" spans="1:11">
      <c r="A29" s="113" t="s">
        <v>137</v>
      </c>
      <c r="B29" s="116" t="str">
        <f>给排水!C14</f>
        <v>新型钢带增强聚乙烯螺旋波纹管d500</v>
      </c>
      <c r="C29" s="108">
        <f t="shared" si="5"/>
        <v>16.8</v>
      </c>
      <c r="D29" s="108"/>
      <c r="E29" s="108"/>
      <c r="F29" s="108">
        <f t="shared" si="0"/>
        <v>16.8</v>
      </c>
      <c r="G29" s="108" t="str">
        <f>给排水!E14</f>
        <v>m</v>
      </c>
      <c r="H29" s="108">
        <f>给排水!D14</f>
        <v>700</v>
      </c>
      <c r="I29" s="115">
        <f>给排水!F14</f>
        <v>240</v>
      </c>
      <c r="J29" s="134"/>
      <c r="K29" s="133"/>
    </row>
    <row r="30" s="98" customFormat="1" ht="36" customHeight="1" spans="1:11">
      <c r="A30" s="113" t="s">
        <v>138</v>
      </c>
      <c r="B30" s="116" t="str">
        <f>给排水!C15</f>
        <v>污水检查井</v>
      </c>
      <c r="C30" s="108">
        <f t="shared" si="5"/>
        <v>112</v>
      </c>
      <c r="D30" s="108"/>
      <c r="E30" s="108"/>
      <c r="F30" s="108">
        <f t="shared" si="0"/>
        <v>112</v>
      </c>
      <c r="G30" s="108" t="str">
        <f>给排水!E15</f>
        <v>座</v>
      </c>
      <c r="H30" s="108">
        <f>给排水!D15</f>
        <v>112</v>
      </c>
      <c r="I30" s="115">
        <f>给排水!F15</f>
        <v>10000</v>
      </c>
      <c r="J30" s="134"/>
      <c r="K30" s="133"/>
    </row>
    <row r="31" s="98" customFormat="1" ht="36" customHeight="1" spans="1:11">
      <c r="A31" s="113" t="s">
        <v>139</v>
      </c>
      <c r="B31" s="116" t="str">
        <f>给排水!C16</f>
        <v>挖方</v>
      </c>
      <c r="C31" s="108">
        <f t="shared" si="5"/>
        <v>323.62</v>
      </c>
      <c r="D31" s="108"/>
      <c r="E31" s="108"/>
      <c r="F31" s="108">
        <f t="shared" si="0"/>
        <v>323.62</v>
      </c>
      <c r="G31" s="108" t="str">
        <f>给排水!E16</f>
        <v>m3</v>
      </c>
      <c r="H31" s="108">
        <f>给排水!D16</f>
        <v>37170</v>
      </c>
      <c r="I31" s="115">
        <f>给排水!F16</f>
        <v>87.0648372343288</v>
      </c>
      <c r="J31" s="134"/>
      <c r="K31" s="133"/>
    </row>
    <row r="32" s="98" customFormat="1" ht="36" customHeight="1" spans="1:11">
      <c r="A32" s="113" t="s">
        <v>140</v>
      </c>
      <c r="B32" s="116" t="str">
        <f>给排水!C17</f>
        <v>填方</v>
      </c>
      <c r="C32" s="108">
        <f t="shared" si="5"/>
        <v>70.3</v>
      </c>
      <c r="D32" s="108"/>
      <c r="E32" s="108"/>
      <c r="F32" s="108">
        <f t="shared" si="0"/>
        <v>70.3</v>
      </c>
      <c r="G32" s="108" t="str">
        <f>给排水!E17</f>
        <v>m3</v>
      </c>
      <c r="H32" s="108">
        <f>给排水!D17</f>
        <v>35150</v>
      </c>
      <c r="I32" s="115">
        <f>给排水!F17</f>
        <v>20</v>
      </c>
      <c r="J32" s="134"/>
      <c r="K32" s="133"/>
    </row>
    <row r="33" s="98" customFormat="1" ht="36" customHeight="1" spans="1:11">
      <c r="A33" s="112">
        <v>2.3</v>
      </c>
      <c r="B33" s="110" t="s">
        <v>57</v>
      </c>
      <c r="C33" s="111">
        <f>SUM(C34:C36)</f>
        <v>33.5</v>
      </c>
      <c r="D33" s="111"/>
      <c r="E33" s="111"/>
      <c r="F33" s="111">
        <f t="shared" si="0"/>
        <v>33.5</v>
      </c>
      <c r="G33" s="111" t="s">
        <v>49</v>
      </c>
      <c r="H33" s="111">
        <f>H34</f>
        <v>300</v>
      </c>
      <c r="I33" s="128">
        <f>C33/H33*10000</f>
        <v>1116.66666666667</v>
      </c>
      <c r="J33" s="134"/>
      <c r="K33" s="133"/>
    </row>
    <row r="34" s="98" customFormat="1" ht="36" customHeight="1" spans="1:11">
      <c r="A34" s="113" t="s">
        <v>141</v>
      </c>
      <c r="B34" s="116" t="str">
        <f>给排水!C18</f>
        <v>管道疏浚</v>
      </c>
      <c r="C34" s="108">
        <f t="shared" ref="C34:C37" si="6">H34*I34/10000</f>
        <v>6</v>
      </c>
      <c r="D34" s="108"/>
      <c r="E34" s="108"/>
      <c r="F34" s="108">
        <f t="shared" si="0"/>
        <v>6</v>
      </c>
      <c r="G34" s="108" t="str">
        <f>给排水!E18</f>
        <v>m</v>
      </c>
      <c r="H34" s="108">
        <f>给排水!D18</f>
        <v>300</v>
      </c>
      <c r="I34" s="115">
        <f>给排水!F18</f>
        <v>200</v>
      </c>
      <c r="J34" s="134"/>
      <c r="K34" s="114" t="str">
        <f>给排水!H18</f>
        <v>原d1000雨污合流管道保留段的20%考虑</v>
      </c>
    </row>
    <row r="35" s="98" customFormat="1" ht="36" customHeight="1" spans="1:11">
      <c r="A35" s="113" t="s">
        <v>142</v>
      </c>
      <c r="B35" s="116" t="str">
        <f>给排水!C19</f>
        <v>废除封堵</v>
      </c>
      <c r="C35" s="108">
        <f t="shared" si="6"/>
        <v>7.5</v>
      </c>
      <c r="D35" s="108"/>
      <c r="E35" s="108"/>
      <c r="F35" s="108">
        <f t="shared" si="0"/>
        <v>7.5</v>
      </c>
      <c r="G35" s="108" t="str">
        <f>给排水!E19</f>
        <v>处</v>
      </c>
      <c r="H35" s="108">
        <f>给排水!D19</f>
        <v>15</v>
      </c>
      <c r="I35" s="115">
        <f>给排水!F19</f>
        <v>5000</v>
      </c>
      <c r="J35" s="134"/>
      <c r="K35" s="133"/>
    </row>
    <row r="36" s="98" customFormat="1" ht="36" customHeight="1" spans="1:11">
      <c r="A36" s="113" t="s">
        <v>143</v>
      </c>
      <c r="B36" s="116" t="str">
        <f>给排水!C20</f>
        <v>管线迁改</v>
      </c>
      <c r="C36" s="108">
        <f t="shared" si="6"/>
        <v>20</v>
      </c>
      <c r="D36" s="108"/>
      <c r="E36" s="108"/>
      <c r="F36" s="108">
        <f t="shared" si="0"/>
        <v>20</v>
      </c>
      <c r="G36" s="108" t="str">
        <f>给排水!E20</f>
        <v>项</v>
      </c>
      <c r="H36" s="108">
        <f>给排水!D20</f>
        <v>1</v>
      </c>
      <c r="I36" s="115">
        <f>给排水!F20</f>
        <v>200000</v>
      </c>
      <c r="J36" s="134"/>
      <c r="K36" s="133"/>
    </row>
    <row r="37" s="98" customFormat="1" ht="26" customHeight="1" spans="1:11">
      <c r="A37" s="112">
        <v>3</v>
      </c>
      <c r="B37" s="110" t="s">
        <v>58</v>
      </c>
      <c r="C37" s="111">
        <f t="shared" si="6"/>
        <v>93.5061032837866</v>
      </c>
      <c r="D37" s="111"/>
      <c r="E37" s="111"/>
      <c r="F37" s="111">
        <f t="shared" si="0"/>
        <v>93.5061032837866</v>
      </c>
      <c r="G37" s="111" t="s">
        <v>59</v>
      </c>
      <c r="H37" s="111">
        <v>1</v>
      </c>
      <c r="I37" s="128">
        <f>M12</f>
        <v>935061.032837866</v>
      </c>
      <c r="J37" s="132"/>
      <c r="K37" s="133"/>
    </row>
    <row r="38" s="97" customFormat="1" ht="18" customHeight="1" spans="1:11">
      <c r="A38" s="109" t="s">
        <v>60</v>
      </c>
      <c r="B38" s="110" t="s">
        <v>9</v>
      </c>
      <c r="C38" s="111">
        <f>C39+C50+C68</f>
        <v>1059.65747281224</v>
      </c>
      <c r="D38" s="111"/>
      <c r="E38" s="111"/>
      <c r="F38" s="111">
        <f t="shared" si="0"/>
        <v>1059.65747281224</v>
      </c>
      <c r="G38" s="111" t="s">
        <v>49</v>
      </c>
      <c r="H38" s="111">
        <f>H50</f>
        <v>2945</v>
      </c>
      <c r="I38" s="111">
        <f>F38/H38*10000</f>
        <v>3598.15780241848</v>
      </c>
      <c r="J38" s="126"/>
      <c r="K38" s="123"/>
    </row>
    <row r="39" s="97" customFormat="1" spans="1:11">
      <c r="A39" s="112">
        <v>1</v>
      </c>
      <c r="B39" s="110" t="s">
        <v>51</v>
      </c>
      <c r="C39" s="111">
        <f>SUM(C40:C49)</f>
        <v>494.681480769231</v>
      </c>
      <c r="D39" s="111"/>
      <c r="E39" s="111"/>
      <c r="F39" s="111">
        <f t="shared" si="0"/>
        <v>494.681480769231</v>
      </c>
      <c r="G39" s="111" t="s">
        <v>52</v>
      </c>
      <c r="H39" s="111">
        <f>H49</f>
        <v>17829.35</v>
      </c>
      <c r="I39" s="128">
        <f>F39/H39*10000</f>
        <v>277.453457792477</v>
      </c>
      <c r="J39" s="126"/>
      <c r="K39" s="123"/>
    </row>
    <row r="40" s="97" customFormat="1" ht="48" customHeight="1" spans="1:11">
      <c r="A40" s="113">
        <v>1.1</v>
      </c>
      <c r="B40" s="116" t="str">
        <f>道路!B15</f>
        <v>路面破除</v>
      </c>
      <c r="C40" s="108">
        <f t="shared" ref="C40:C49" si="7">I40*H40/10000</f>
        <v>48.7628307692307</v>
      </c>
      <c r="D40" s="108"/>
      <c r="E40" s="108"/>
      <c r="F40" s="108">
        <f t="shared" si="0"/>
        <v>48.7628307692307</v>
      </c>
      <c r="G40" s="108" t="str">
        <f>道路!C15</f>
        <v>m2</v>
      </c>
      <c r="H40" s="6">
        <f>道路!D15</f>
        <v>11739.2</v>
      </c>
      <c r="I40" s="129">
        <f>道路!E15</f>
        <v>41.5384615384615</v>
      </c>
      <c r="J40" s="126"/>
      <c r="K40" s="114" t="s">
        <v>144</v>
      </c>
    </row>
    <row r="41" s="97" customFormat="1" ht="36" spans="1:11">
      <c r="A41" s="113">
        <v>1.2</v>
      </c>
      <c r="B41" s="116" t="str">
        <f>道路!B16</f>
        <v>路面恢复(破除宽小于3m)</v>
      </c>
      <c r="C41" s="108">
        <f t="shared" si="7"/>
        <v>13.3056</v>
      </c>
      <c r="D41" s="108"/>
      <c r="E41" s="108"/>
      <c r="F41" s="108">
        <f t="shared" si="0"/>
        <v>13.3056</v>
      </c>
      <c r="G41" s="108" t="str">
        <f>道路!C16</f>
        <v>m2</v>
      </c>
      <c r="H41" s="6">
        <f>道路!D16</f>
        <v>739.2</v>
      </c>
      <c r="I41" s="129">
        <f>道路!E16</f>
        <v>180</v>
      </c>
      <c r="J41" s="131"/>
      <c r="K41" s="114" t="s">
        <v>145</v>
      </c>
    </row>
    <row r="42" s="97" customFormat="1" ht="36" spans="1:11">
      <c r="A42" s="113">
        <v>1.3</v>
      </c>
      <c r="B42" s="116" t="str">
        <f>道路!B17</f>
        <v>路面恢复(破除宽大于3m)</v>
      </c>
      <c r="C42" s="108">
        <f t="shared" si="7"/>
        <v>198</v>
      </c>
      <c r="D42" s="108"/>
      <c r="E42" s="108"/>
      <c r="F42" s="108">
        <f t="shared" si="0"/>
        <v>198</v>
      </c>
      <c r="G42" s="108" t="str">
        <f>道路!C17</f>
        <v>m2</v>
      </c>
      <c r="H42" s="6">
        <f>道路!D17</f>
        <v>11000</v>
      </c>
      <c r="I42" s="129">
        <f>道路!E17</f>
        <v>180</v>
      </c>
      <c r="J42" s="131"/>
      <c r="K42" s="114" t="s">
        <v>146</v>
      </c>
    </row>
    <row r="43" s="97" customFormat="1" ht="36" customHeight="1" spans="1:11">
      <c r="A43" s="113">
        <v>1.4</v>
      </c>
      <c r="B43" s="116" t="str">
        <f>道路!B18</f>
        <v>机制C30砼路缘石15x40x100cm</v>
      </c>
      <c r="C43" s="108">
        <f t="shared" si="7"/>
        <v>16.005</v>
      </c>
      <c r="D43" s="108"/>
      <c r="E43" s="108"/>
      <c r="F43" s="108">
        <f t="shared" si="0"/>
        <v>16.005</v>
      </c>
      <c r="G43" s="108" t="str">
        <f>道路!C18</f>
        <v>m</v>
      </c>
      <c r="H43" s="6">
        <f>道路!D18</f>
        <v>2134</v>
      </c>
      <c r="I43" s="129">
        <f>道路!E18</f>
        <v>75</v>
      </c>
      <c r="J43" s="131"/>
      <c r="K43" s="114"/>
    </row>
    <row r="44" s="97" customFormat="1" ht="23" customHeight="1" spans="1:11">
      <c r="A44" s="113">
        <v>1.5</v>
      </c>
      <c r="B44" s="116" t="str">
        <f>道路!B19</f>
        <v>人行道破除</v>
      </c>
      <c r="C44" s="108">
        <f t="shared" si="7"/>
        <v>15.6222</v>
      </c>
      <c r="D44" s="108"/>
      <c r="E44" s="108"/>
      <c r="F44" s="108">
        <f t="shared" si="0"/>
        <v>15.6222</v>
      </c>
      <c r="G44" s="108" t="str">
        <f>道路!C19</f>
        <v>m2</v>
      </c>
      <c r="H44" s="6">
        <f>道路!D19</f>
        <v>5207.4</v>
      </c>
      <c r="I44" s="129">
        <f>道路!E19</f>
        <v>30</v>
      </c>
      <c r="J44" s="131"/>
      <c r="K44" s="114"/>
    </row>
    <row r="45" s="97" customFormat="1" ht="36" spans="1:11">
      <c r="A45" s="113">
        <v>1.6</v>
      </c>
      <c r="B45" s="116" t="str">
        <f>道路!B20</f>
        <v>人行道恢复</v>
      </c>
      <c r="C45" s="108">
        <f t="shared" si="7"/>
        <v>85.9221</v>
      </c>
      <c r="D45" s="108"/>
      <c r="E45" s="108"/>
      <c r="F45" s="108">
        <f t="shared" si="0"/>
        <v>85.9221</v>
      </c>
      <c r="G45" s="108" t="str">
        <f>道路!C20</f>
        <v>m2</v>
      </c>
      <c r="H45" s="6">
        <f>道路!D20</f>
        <v>5207.4</v>
      </c>
      <c r="I45" s="129">
        <f>道路!E20</f>
        <v>165</v>
      </c>
      <c r="J45" s="131"/>
      <c r="K45" s="114" t="s">
        <v>147</v>
      </c>
    </row>
    <row r="46" s="97" customFormat="1" ht="25" customHeight="1" spans="1:11">
      <c r="A46" s="113">
        <v>1.7</v>
      </c>
      <c r="B46" s="116" t="str">
        <f>道路!B21</f>
        <v>侧分带破除</v>
      </c>
      <c r="C46" s="108">
        <f t="shared" si="7"/>
        <v>2.64825</v>
      </c>
      <c r="D46" s="108"/>
      <c r="E46" s="108"/>
      <c r="F46" s="108">
        <f t="shared" si="0"/>
        <v>2.64825</v>
      </c>
      <c r="G46" s="108" t="str">
        <f>道路!C21</f>
        <v>m2</v>
      </c>
      <c r="H46" s="6">
        <f>道路!D21</f>
        <v>882.75</v>
      </c>
      <c r="I46" s="129">
        <f>道路!E21</f>
        <v>30</v>
      </c>
      <c r="J46" s="131"/>
      <c r="K46" s="6"/>
    </row>
    <row r="47" s="97" customFormat="1" spans="1:11">
      <c r="A47" s="113">
        <v>1.8</v>
      </c>
      <c r="B47" s="116" t="str">
        <f>道路!B22</f>
        <v>侧分带恢复</v>
      </c>
      <c r="C47" s="108">
        <f t="shared" si="7"/>
        <v>22.06875</v>
      </c>
      <c r="D47" s="108"/>
      <c r="E47" s="108"/>
      <c r="F47" s="108">
        <f t="shared" si="0"/>
        <v>22.06875</v>
      </c>
      <c r="G47" s="108" t="str">
        <f>道路!C22</f>
        <v>m2</v>
      </c>
      <c r="H47" s="6">
        <f>道路!D22</f>
        <v>882.75</v>
      </c>
      <c r="I47" s="129">
        <f>道路!E22</f>
        <v>250</v>
      </c>
      <c r="J47" s="131"/>
      <c r="K47" s="6"/>
    </row>
    <row r="48" s="97" customFormat="1" ht="14" customHeight="1" spans="1:11">
      <c r="A48" s="113">
        <v>1.9</v>
      </c>
      <c r="B48" s="116" t="str">
        <f>道路!B23</f>
        <v>行道树迁移及恢复</v>
      </c>
      <c r="C48" s="108">
        <f t="shared" si="7"/>
        <v>3.2</v>
      </c>
      <c r="D48" s="108"/>
      <c r="E48" s="108"/>
      <c r="F48" s="108">
        <f t="shared" si="0"/>
        <v>3.2</v>
      </c>
      <c r="G48" s="108" t="str">
        <f>道路!C23</f>
        <v>棵</v>
      </c>
      <c r="H48" s="6">
        <f>道路!D23</f>
        <v>40</v>
      </c>
      <c r="I48" s="129">
        <f>道路!E23</f>
        <v>800</v>
      </c>
      <c r="J48" s="131"/>
      <c r="K48" s="6"/>
    </row>
    <row r="49" s="97" customFormat="1" ht="14" customHeight="1" spans="1:11">
      <c r="A49" s="117">
        <v>1.1</v>
      </c>
      <c r="B49" s="116" t="str">
        <f>道路!B24</f>
        <v>施工措施项目费</v>
      </c>
      <c r="C49" s="108">
        <f t="shared" si="7"/>
        <v>89.14675</v>
      </c>
      <c r="D49" s="108"/>
      <c r="E49" s="108"/>
      <c r="F49" s="108">
        <f t="shared" si="0"/>
        <v>89.14675</v>
      </c>
      <c r="G49" s="108" t="str">
        <f>道路!C24</f>
        <v>m2</v>
      </c>
      <c r="H49" s="6">
        <f>道路!D24</f>
        <v>17829.35</v>
      </c>
      <c r="I49" s="129">
        <f>道路!E24</f>
        <v>50</v>
      </c>
      <c r="J49" s="131"/>
      <c r="K49" s="6"/>
    </row>
    <row r="50" s="98" customFormat="1" ht="21" customHeight="1" spans="1:11">
      <c r="A50" s="112">
        <v>2</v>
      </c>
      <c r="B50" s="110" t="s">
        <v>53</v>
      </c>
      <c r="C50" s="111">
        <f>C51+C59+C64</f>
        <v>517.578</v>
      </c>
      <c r="D50" s="111"/>
      <c r="E50" s="111"/>
      <c r="F50" s="111">
        <f t="shared" si="0"/>
        <v>517.578</v>
      </c>
      <c r="G50" s="111" t="s">
        <v>49</v>
      </c>
      <c r="H50" s="111">
        <f>H51+H59+H64</f>
        <v>2945</v>
      </c>
      <c r="I50" s="128">
        <f>F50/H50*10000</f>
        <v>1757.480475382</v>
      </c>
      <c r="J50" s="132"/>
      <c r="K50" s="133"/>
    </row>
    <row r="51" s="98" customFormat="1" ht="33" customHeight="1" spans="1:11">
      <c r="A51" s="112">
        <v>2.1</v>
      </c>
      <c r="B51" s="110" t="s">
        <v>55</v>
      </c>
      <c r="C51" s="111">
        <f>SUM(C52:C58)</f>
        <v>100.488</v>
      </c>
      <c r="D51" s="111"/>
      <c r="E51" s="111"/>
      <c r="F51" s="111">
        <f t="shared" si="0"/>
        <v>100.488</v>
      </c>
      <c r="G51" s="111" t="s">
        <v>49</v>
      </c>
      <c r="H51" s="111">
        <f>SUM(H52:H54)</f>
        <v>435</v>
      </c>
      <c r="I51" s="128">
        <f>C51/H51*10000</f>
        <v>2310.06896551724</v>
      </c>
      <c r="J51" s="132"/>
      <c r="K51" s="133"/>
    </row>
    <row r="52" s="98" customFormat="1" ht="36" customHeight="1" spans="1:11">
      <c r="A52" s="113" t="s">
        <v>127</v>
      </c>
      <c r="B52" s="116" t="str">
        <f>给排水!C24</f>
        <v>II级钢筋混凝土管d300</v>
      </c>
      <c r="C52" s="108">
        <f t="shared" ref="C52:C58" si="8">H52*I52/10000</f>
        <v>1.89</v>
      </c>
      <c r="D52" s="108"/>
      <c r="E52" s="108"/>
      <c r="F52" s="108">
        <f t="shared" si="0"/>
        <v>1.89</v>
      </c>
      <c r="G52" s="108" t="str">
        <f>给排水!E24</f>
        <v>m</v>
      </c>
      <c r="H52" s="108">
        <f>给排水!D24</f>
        <v>135</v>
      </c>
      <c r="I52" s="115">
        <f>给排水!F24</f>
        <v>140</v>
      </c>
      <c r="J52" s="132"/>
      <c r="K52" s="114" t="str">
        <f>给排水!H24</f>
        <v>雨水口连接管</v>
      </c>
    </row>
    <row r="53" s="98" customFormat="1" ht="36" customHeight="1" spans="1:11">
      <c r="A53" s="113" t="s">
        <v>128</v>
      </c>
      <c r="B53" s="116" t="str">
        <f>给排水!C25</f>
        <v>II级钢筋混凝土管d600</v>
      </c>
      <c r="C53" s="108">
        <f t="shared" si="8"/>
        <v>3.378</v>
      </c>
      <c r="D53" s="108"/>
      <c r="E53" s="108"/>
      <c r="F53" s="108">
        <f t="shared" si="0"/>
        <v>3.378</v>
      </c>
      <c r="G53" s="108" t="str">
        <f>给排水!E25</f>
        <v>m</v>
      </c>
      <c r="H53" s="108">
        <f>给排水!D25</f>
        <v>60</v>
      </c>
      <c r="I53" s="115">
        <f>给排水!F25</f>
        <v>563</v>
      </c>
      <c r="J53" s="132"/>
      <c r="K53" s="114" t="str">
        <f>给排水!H25</f>
        <v>地块预留支管</v>
      </c>
    </row>
    <row r="54" s="98" customFormat="1" ht="36" customHeight="1" spans="1:11">
      <c r="A54" s="113" t="s">
        <v>129</v>
      </c>
      <c r="B54" s="116" t="str">
        <f>给排水!C26</f>
        <v>II级钢筋混凝土管d1200</v>
      </c>
      <c r="C54" s="108">
        <f t="shared" si="8"/>
        <v>30.72</v>
      </c>
      <c r="D54" s="108"/>
      <c r="E54" s="108"/>
      <c r="F54" s="108">
        <f t="shared" si="0"/>
        <v>30.72</v>
      </c>
      <c r="G54" s="108" t="str">
        <f>给排水!E26</f>
        <v>m</v>
      </c>
      <c r="H54" s="108">
        <f>给排水!D26</f>
        <v>240</v>
      </c>
      <c r="I54" s="115">
        <f>给排水!F26</f>
        <v>1280</v>
      </c>
      <c r="J54" s="132"/>
      <c r="K54" s="114"/>
    </row>
    <row r="55" s="98" customFormat="1" ht="36" customHeight="1" spans="1:11">
      <c r="A55" s="113" t="s">
        <v>130</v>
      </c>
      <c r="B55" s="116" t="str">
        <f>给排水!C27</f>
        <v>雨水检查井</v>
      </c>
      <c r="C55" s="108">
        <f t="shared" si="8"/>
        <v>8.8</v>
      </c>
      <c r="D55" s="108"/>
      <c r="E55" s="108"/>
      <c r="F55" s="108">
        <f t="shared" si="0"/>
        <v>8.8</v>
      </c>
      <c r="G55" s="108" t="str">
        <f>给排水!E27</f>
        <v>座</v>
      </c>
      <c r="H55" s="108">
        <f>给排水!D27</f>
        <v>11</v>
      </c>
      <c r="I55" s="115">
        <f>给排水!F27</f>
        <v>8000</v>
      </c>
      <c r="J55" s="132"/>
      <c r="K55" s="114" t="str">
        <f>给排水!H27</f>
        <v>钢筋混凝土检查井，详见图集04S531-5</v>
      </c>
    </row>
    <row r="56" s="98" customFormat="1" ht="36" customHeight="1" spans="1:11">
      <c r="A56" s="113" t="s">
        <v>131</v>
      </c>
      <c r="B56" s="116" t="str">
        <f>给排水!C28</f>
        <v>双箅雨水口</v>
      </c>
      <c r="C56" s="108">
        <f t="shared" si="8"/>
        <v>2.2</v>
      </c>
      <c r="D56" s="108"/>
      <c r="E56" s="108"/>
      <c r="F56" s="108">
        <f t="shared" si="0"/>
        <v>2.2</v>
      </c>
      <c r="G56" s="108" t="str">
        <f>给排水!E28</f>
        <v>座</v>
      </c>
      <c r="H56" s="108">
        <f>给排水!D28</f>
        <v>20</v>
      </c>
      <c r="I56" s="115">
        <f>给排水!F28</f>
        <v>1100</v>
      </c>
      <c r="J56" s="132"/>
      <c r="K56" s="114" t="str">
        <f>给排水!H28</f>
        <v>参16S518-P43</v>
      </c>
    </row>
    <row r="57" s="98" customFormat="1" ht="36" customHeight="1" spans="1:11">
      <c r="A57" s="113" t="s">
        <v>132</v>
      </c>
      <c r="B57" s="116" t="str">
        <f>给排水!C29</f>
        <v>挖方</v>
      </c>
      <c r="C57" s="108">
        <f t="shared" si="8"/>
        <v>44.9</v>
      </c>
      <c r="D57" s="108"/>
      <c r="E57" s="108"/>
      <c r="F57" s="108">
        <f t="shared" si="0"/>
        <v>44.9</v>
      </c>
      <c r="G57" s="108" t="str">
        <f>给排水!E29</f>
        <v>m3</v>
      </c>
      <c r="H57" s="108">
        <f>给排水!D29</f>
        <v>4800</v>
      </c>
      <c r="I57" s="115">
        <f>给排水!F29</f>
        <v>93.5416666666667</v>
      </c>
      <c r="J57" s="132"/>
      <c r="K57" s="114" t="str">
        <f>给排水!H29</f>
        <v>注：表中土石方量仅供参考，以现场实际开挖量为准。</v>
      </c>
    </row>
    <row r="58" s="98" customFormat="1" ht="33" customHeight="1" spans="1:11">
      <c r="A58" s="113" t="s">
        <v>133</v>
      </c>
      <c r="B58" s="116" t="str">
        <f>给排水!C30</f>
        <v>填方</v>
      </c>
      <c r="C58" s="108">
        <f t="shared" si="8"/>
        <v>8.6</v>
      </c>
      <c r="D58" s="108"/>
      <c r="E58" s="108"/>
      <c r="F58" s="108"/>
      <c r="G58" s="108" t="str">
        <f>给排水!E30</f>
        <v>m3</v>
      </c>
      <c r="H58" s="108">
        <f>给排水!D30</f>
        <v>4300</v>
      </c>
      <c r="I58" s="115">
        <f>给排水!F30</f>
        <v>20</v>
      </c>
      <c r="J58" s="132"/>
      <c r="K58" s="114" t="str">
        <f>给排水!H30</f>
        <v>注：表中土石方量仅供参考，以现场实际开挖量为准。</v>
      </c>
    </row>
    <row r="59" s="98" customFormat="1" ht="53" customHeight="1" spans="1:11">
      <c r="A59" s="112">
        <v>2.2</v>
      </c>
      <c r="B59" s="110" t="s">
        <v>56</v>
      </c>
      <c r="C59" s="111">
        <f>SUM(C60:C63)</f>
        <v>382.39</v>
      </c>
      <c r="D59" s="111"/>
      <c r="E59" s="111"/>
      <c r="F59" s="111">
        <f t="shared" ref="F59:F122" si="9">SUM(C59:E59)</f>
        <v>382.39</v>
      </c>
      <c r="G59" s="111" t="s">
        <v>49</v>
      </c>
      <c r="H59" s="111">
        <v>2150</v>
      </c>
      <c r="I59" s="128">
        <f>C59/H59*10000</f>
        <v>1778.55813953488</v>
      </c>
      <c r="J59" s="134"/>
      <c r="K59" s="133"/>
    </row>
    <row r="60" s="97" customFormat="1" ht="36" customHeight="1" spans="1:11">
      <c r="A60" s="113" t="s">
        <v>136</v>
      </c>
      <c r="B60" s="116" t="str">
        <f>给排水!C31</f>
        <v>新型钢带增强聚乙烯螺旋波纹管d400</v>
      </c>
      <c r="C60" s="108">
        <f t="shared" ref="C60:C63" si="10">H60*I60/10000</f>
        <v>43</v>
      </c>
      <c r="D60" s="108"/>
      <c r="E60" s="108"/>
      <c r="F60" s="108">
        <f t="shared" si="9"/>
        <v>43</v>
      </c>
      <c r="G60" s="108" t="str">
        <f>给排水!E31</f>
        <v>m</v>
      </c>
      <c r="H60" s="108">
        <f>给排水!D31</f>
        <v>2150</v>
      </c>
      <c r="I60" s="115">
        <f>给排水!F31</f>
        <v>200</v>
      </c>
      <c r="J60" s="131"/>
      <c r="K60" s="114" t="str">
        <f>给排水!H31</f>
        <v>环刚度≥8KN/m2</v>
      </c>
    </row>
    <row r="61" s="98" customFormat="1" ht="36" customHeight="1" spans="1:11">
      <c r="A61" s="113" t="s">
        <v>137</v>
      </c>
      <c r="B61" s="116" t="str">
        <f>给排水!C32</f>
        <v>污水检查井</v>
      </c>
      <c r="C61" s="108">
        <f t="shared" si="10"/>
        <v>62</v>
      </c>
      <c r="D61" s="108"/>
      <c r="E61" s="108"/>
      <c r="F61" s="108">
        <f t="shared" si="9"/>
        <v>62</v>
      </c>
      <c r="G61" s="108" t="str">
        <f>给排水!E32</f>
        <v>座</v>
      </c>
      <c r="H61" s="108">
        <f>给排水!D32</f>
        <v>62</v>
      </c>
      <c r="I61" s="115">
        <f>给排水!F32</f>
        <v>10000</v>
      </c>
      <c r="J61" s="134"/>
      <c r="K61" s="114" t="str">
        <f>给排水!H32</f>
        <v>钢筋混凝土检查井，详见图集04S531-5-P15</v>
      </c>
    </row>
    <row r="62" s="98" customFormat="1" ht="36" customHeight="1" spans="1:11">
      <c r="A62" s="113" t="s">
        <v>138</v>
      </c>
      <c r="B62" s="116" t="str">
        <f>给排水!C33</f>
        <v>挖方</v>
      </c>
      <c r="C62" s="108">
        <f t="shared" si="10"/>
        <v>224.39</v>
      </c>
      <c r="D62" s="108"/>
      <c r="E62" s="108"/>
      <c r="F62" s="108">
        <f t="shared" si="9"/>
        <v>224.39</v>
      </c>
      <c r="G62" s="108" t="str">
        <f>给排水!E33</f>
        <v>m3</v>
      </c>
      <c r="H62" s="108">
        <f>给排水!D33</f>
        <v>27090</v>
      </c>
      <c r="I62" s="115">
        <f>给排水!F33</f>
        <v>82.8313030638612</v>
      </c>
      <c r="J62" s="134"/>
      <c r="K62" s="114" t="str">
        <f>给排水!H33</f>
        <v>注：表中土石方量仅供参考，以现场实际开挖量为准。</v>
      </c>
    </row>
    <row r="63" s="98" customFormat="1" ht="36" customHeight="1" spans="1:11">
      <c r="A63" s="113" t="s">
        <v>139</v>
      </c>
      <c r="B63" s="116" t="str">
        <f>给排水!C34</f>
        <v>填方</v>
      </c>
      <c r="C63" s="108">
        <f t="shared" si="10"/>
        <v>53</v>
      </c>
      <c r="D63" s="108"/>
      <c r="E63" s="108"/>
      <c r="F63" s="108">
        <f t="shared" si="9"/>
        <v>53</v>
      </c>
      <c r="G63" s="108" t="str">
        <f>给排水!E34</f>
        <v>m3</v>
      </c>
      <c r="H63" s="108">
        <f>给排水!D34</f>
        <v>26500</v>
      </c>
      <c r="I63" s="115">
        <f>给排水!F34</f>
        <v>20</v>
      </c>
      <c r="J63" s="134"/>
      <c r="K63" s="114" t="str">
        <f>给排水!H34</f>
        <v>注：表中土石方量仅供参考，以现场实际开挖量为准。</v>
      </c>
    </row>
    <row r="64" s="98" customFormat="1" ht="36" customHeight="1" spans="1:11">
      <c r="A64" s="112">
        <v>2.3</v>
      </c>
      <c r="B64" s="110" t="s">
        <v>57</v>
      </c>
      <c r="C64" s="111">
        <f>SUM(C65:C67)</f>
        <v>34.7</v>
      </c>
      <c r="D64" s="111"/>
      <c r="E64" s="111"/>
      <c r="F64" s="111">
        <f t="shared" si="9"/>
        <v>34.7</v>
      </c>
      <c r="G64" s="111" t="s">
        <v>49</v>
      </c>
      <c r="H64" s="111">
        <f>H65</f>
        <v>360</v>
      </c>
      <c r="I64" s="128">
        <f>C64/H64*10000</f>
        <v>963.888888888889</v>
      </c>
      <c r="J64" s="134"/>
      <c r="K64" s="133"/>
    </row>
    <row r="65" s="98" customFormat="1" ht="36" customHeight="1" spans="1:11">
      <c r="A65" s="113" t="s">
        <v>141</v>
      </c>
      <c r="B65" s="116" t="str">
        <f>给排水!C35</f>
        <v>管道疏浚</v>
      </c>
      <c r="C65" s="108">
        <f t="shared" ref="C65:C68" si="11">H65*I65/10000</f>
        <v>7.2</v>
      </c>
      <c r="D65" s="108"/>
      <c r="E65" s="108"/>
      <c r="F65" s="108">
        <f t="shared" si="9"/>
        <v>7.2</v>
      </c>
      <c r="G65" s="108" t="str">
        <f>给排水!E35</f>
        <v>m</v>
      </c>
      <c r="H65" s="108">
        <f>给排水!D35</f>
        <v>360</v>
      </c>
      <c r="I65" s="115">
        <f>给排水!F35</f>
        <v>200</v>
      </c>
      <c r="J65" s="134"/>
      <c r="K65" s="114" t="str">
        <f>给排水!H35</f>
        <v>原d1000雨污合流管道</v>
      </c>
    </row>
    <row r="66" s="98" customFormat="1" ht="36" customHeight="1" spans="1:11">
      <c r="A66" s="113" t="s">
        <v>142</v>
      </c>
      <c r="B66" s="116" t="str">
        <f>给排水!C36</f>
        <v>废除封堵</v>
      </c>
      <c r="C66" s="108">
        <f t="shared" si="11"/>
        <v>7.5</v>
      </c>
      <c r="D66" s="108"/>
      <c r="E66" s="108"/>
      <c r="F66" s="108">
        <f t="shared" si="9"/>
        <v>7.5</v>
      </c>
      <c r="G66" s="108" t="str">
        <f>给排水!E36</f>
        <v>处</v>
      </c>
      <c r="H66" s="108">
        <f>给排水!D36</f>
        <v>15</v>
      </c>
      <c r="I66" s="115">
        <f>给排水!F36</f>
        <v>5000</v>
      </c>
      <c r="J66" s="134"/>
      <c r="K66" s="133"/>
    </row>
    <row r="67" s="98" customFormat="1" ht="36" customHeight="1" spans="1:11">
      <c r="A67" s="113" t="s">
        <v>143</v>
      </c>
      <c r="B67" s="116" t="str">
        <f>给排水!C37</f>
        <v>管线迁改</v>
      </c>
      <c r="C67" s="108">
        <f t="shared" si="11"/>
        <v>20</v>
      </c>
      <c r="D67" s="108"/>
      <c r="E67" s="108"/>
      <c r="F67" s="108">
        <f t="shared" si="9"/>
        <v>20</v>
      </c>
      <c r="G67" s="108" t="str">
        <f>给排水!E37</f>
        <v>项</v>
      </c>
      <c r="H67" s="108">
        <f>给排水!D37</f>
        <v>1</v>
      </c>
      <c r="I67" s="115">
        <f>给排水!F37</f>
        <v>200000</v>
      </c>
      <c r="J67" s="134"/>
      <c r="K67" s="133"/>
    </row>
    <row r="68" s="98" customFormat="1" ht="26" customHeight="1" spans="1:11">
      <c r="A68" s="112">
        <v>3</v>
      </c>
      <c r="B68" s="110" t="s">
        <v>58</v>
      </c>
      <c r="C68" s="111">
        <f t="shared" si="11"/>
        <v>47.397992043011</v>
      </c>
      <c r="D68" s="111"/>
      <c r="E68" s="111"/>
      <c r="F68" s="111">
        <f t="shared" si="9"/>
        <v>47.397992043011</v>
      </c>
      <c r="G68" s="111" t="s">
        <v>59</v>
      </c>
      <c r="H68" s="111">
        <v>1</v>
      </c>
      <c r="I68" s="128">
        <f>N12</f>
        <v>473979.92043011</v>
      </c>
      <c r="J68" s="132"/>
      <c r="K68" s="133"/>
    </row>
    <row r="69" s="97" customFormat="1" ht="18" customHeight="1" spans="1:11">
      <c r="A69" s="109" t="s">
        <v>61</v>
      </c>
      <c r="B69" s="110" t="s">
        <v>10</v>
      </c>
      <c r="C69" s="111">
        <f>C70+C80+C101</f>
        <v>2919.43322329423</v>
      </c>
      <c r="D69" s="111"/>
      <c r="E69" s="111"/>
      <c r="F69" s="111">
        <f t="shared" si="9"/>
        <v>2919.43322329423</v>
      </c>
      <c r="G69" s="111" t="s">
        <v>49</v>
      </c>
      <c r="H69" s="111">
        <f>H80</f>
        <v>5470</v>
      </c>
      <c r="I69" s="111">
        <f>F69/H69*10000</f>
        <v>5337.17225465125</v>
      </c>
      <c r="J69" s="126"/>
      <c r="K69" s="123"/>
    </row>
    <row r="70" s="97" customFormat="1" spans="1:11">
      <c r="A70" s="112">
        <v>1</v>
      </c>
      <c r="B70" s="110" t="s">
        <v>51</v>
      </c>
      <c r="C70" s="111">
        <f>SUM(C71:C79)</f>
        <v>1463.06831615385</v>
      </c>
      <c r="D70" s="111"/>
      <c r="E70" s="111"/>
      <c r="F70" s="111">
        <f t="shared" si="9"/>
        <v>1463.06831615385</v>
      </c>
      <c r="G70" s="111" t="s">
        <v>52</v>
      </c>
      <c r="H70" s="111">
        <f>H79</f>
        <v>36968.75</v>
      </c>
      <c r="I70" s="128">
        <f>F70/H70*10000</f>
        <v>395.758124403407</v>
      </c>
      <c r="J70" s="126"/>
      <c r="K70" s="123"/>
    </row>
    <row r="71" s="97" customFormat="1" ht="48" customHeight="1" spans="1:11">
      <c r="A71" s="113">
        <v>1.1</v>
      </c>
      <c r="B71" s="116" t="str">
        <f>道路!B29</f>
        <v>路面破除</v>
      </c>
      <c r="C71" s="108">
        <f t="shared" ref="C71:C79" si="12">I71*H71/10000</f>
        <v>87.1010461538461</v>
      </c>
      <c r="D71" s="108"/>
      <c r="E71" s="108"/>
      <c r="F71" s="108">
        <f t="shared" si="9"/>
        <v>87.1010461538461</v>
      </c>
      <c r="G71" s="108" t="str">
        <f>道路!C29</f>
        <v>m2</v>
      </c>
      <c r="H71" s="6">
        <f>道路!D29</f>
        <v>17692.4</v>
      </c>
      <c r="I71" s="129">
        <f>道路!E29</f>
        <v>49.2307692307692</v>
      </c>
      <c r="J71" s="126"/>
      <c r="K71" s="114" t="str">
        <f>道路!G29</f>
        <v>厚度按0.64m</v>
      </c>
    </row>
    <row r="72" s="97" customFormat="1" ht="72" spans="1:11">
      <c r="A72" s="113">
        <v>1.2</v>
      </c>
      <c r="B72" s="116" t="str">
        <f>道路!B30</f>
        <v>路面恢复(破除宽小于3m)</v>
      </c>
      <c r="C72" s="108">
        <f t="shared" si="12"/>
        <v>739.54232</v>
      </c>
      <c r="D72" s="108"/>
      <c r="E72" s="108"/>
      <c r="F72" s="108">
        <f t="shared" si="9"/>
        <v>739.54232</v>
      </c>
      <c r="G72" s="108" t="str">
        <f>道路!C30</f>
        <v>m2</v>
      </c>
      <c r="H72" s="6">
        <f>道路!D30</f>
        <v>17692.4</v>
      </c>
      <c r="I72" s="129">
        <f>道路!E30</f>
        <v>418</v>
      </c>
      <c r="J72" s="131"/>
      <c r="K72" s="114" t="str">
        <f>道路!G30</f>
        <v>4cm 细粒式沥青砼(AC-13C，4%SBS 改性)+改性乳化沥青粘层油0.3~0.6L/m2+6cm沥青混凝土AC-20C下面层+18cmC30砼上基层+18cmC30砼下基层+18cm水泥石灰综合稳定土(2:10:88，厂拌)</v>
      </c>
    </row>
    <row r="73" s="97" customFormat="1" spans="1:11">
      <c r="A73" s="113">
        <v>1.3</v>
      </c>
      <c r="B73" s="116" t="str">
        <f>道路!B31</f>
        <v>机制C30砼路缘石15x40x100cm</v>
      </c>
      <c r="C73" s="108">
        <f t="shared" si="12"/>
        <v>28.545</v>
      </c>
      <c r="D73" s="108"/>
      <c r="E73" s="108"/>
      <c r="F73" s="108">
        <f t="shared" si="9"/>
        <v>28.545</v>
      </c>
      <c r="G73" s="108" t="str">
        <f>道路!C31</f>
        <v>m</v>
      </c>
      <c r="H73" s="6">
        <f>道路!D31</f>
        <v>3806</v>
      </c>
      <c r="I73" s="129">
        <f>道路!E31</f>
        <v>75</v>
      </c>
      <c r="J73" s="131"/>
      <c r="K73" s="114"/>
    </row>
    <row r="74" s="97" customFormat="1" ht="36" customHeight="1" spans="1:11">
      <c r="A74" s="113">
        <v>1.4</v>
      </c>
      <c r="B74" s="116" t="str">
        <f>道路!B32</f>
        <v>人行道破除</v>
      </c>
      <c r="C74" s="108">
        <f t="shared" si="12"/>
        <v>34.1013</v>
      </c>
      <c r="D74" s="108"/>
      <c r="E74" s="108"/>
      <c r="F74" s="108">
        <f t="shared" si="9"/>
        <v>34.1013</v>
      </c>
      <c r="G74" s="108" t="str">
        <f>道路!C32</f>
        <v>m2</v>
      </c>
      <c r="H74" s="6">
        <f>道路!D32</f>
        <v>11367.1</v>
      </c>
      <c r="I74" s="129">
        <f>道路!E32</f>
        <v>30</v>
      </c>
      <c r="J74" s="131"/>
      <c r="K74" s="114" t="str">
        <f>道路!G32</f>
        <v>土石比暂按2/8计　</v>
      </c>
    </row>
    <row r="75" s="97" customFormat="1" ht="56" customHeight="1" spans="1:11">
      <c r="A75" s="113">
        <v>1.5</v>
      </c>
      <c r="B75" s="116" t="str">
        <f>道路!B33</f>
        <v>人行道恢复</v>
      </c>
      <c r="C75" s="108">
        <f t="shared" si="12"/>
        <v>187.55715</v>
      </c>
      <c r="D75" s="108"/>
      <c r="E75" s="108"/>
      <c r="F75" s="108">
        <f t="shared" si="9"/>
        <v>187.55715</v>
      </c>
      <c r="G75" s="108" t="str">
        <f>道路!C33</f>
        <v>m2</v>
      </c>
      <c r="H75" s="6">
        <f>道路!D33</f>
        <v>11367.1</v>
      </c>
      <c r="I75" s="129">
        <f>道路!E33</f>
        <v>165</v>
      </c>
      <c r="J75" s="131"/>
      <c r="K75" s="114" t="str">
        <f>道路!G33</f>
        <v>6cm 厚砂基透水砖+3cm 厚 M10 干硬性水泥砂浆+15cm厚C20透水混凝土+15cm 厚级配碎石</v>
      </c>
    </row>
    <row r="76" s="97" customFormat="1" spans="1:11">
      <c r="A76" s="113">
        <v>1.6</v>
      </c>
      <c r="B76" s="116" t="str">
        <f>道路!B34</f>
        <v>侧分带破除</v>
      </c>
      <c r="C76" s="108">
        <f t="shared" si="12"/>
        <v>21.318</v>
      </c>
      <c r="D76" s="108"/>
      <c r="E76" s="108"/>
      <c r="F76" s="108">
        <f t="shared" si="9"/>
        <v>21.318</v>
      </c>
      <c r="G76" s="108" t="str">
        <f>道路!C34</f>
        <v>m2</v>
      </c>
      <c r="H76" s="6">
        <f>道路!D34</f>
        <v>7106</v>
      </c>
      <c r="I76" s="129">
        <f>道路!E34</f>
        <v>30</v>
      </c>
      <c r="J76" s="131"/>
      <c r="K76" s="114"/>
    </row>
    <row r="77" s="97" customFormat="1" ht="25" customHeight="1" spans="1:11">
      <c r="A77" s="113">
        <v>1.7</v>
      </c>
      <c r="B77" s="116" t="str">
        <f>道路!B35</f>
        <v>侧分带恢复</v>
      </c>
      <c r="C77" s="108">
        <f t="shared" si="12"/>
        <v>177.65</v>
      </c>
      <c r="D77" s="108"/>
      <c r="E77" s="108"/>
      <c r="F77" s="108">
        <f t="shared" si="9"/>
        <v>177.65</v>
      </c>
      <c r="G77" s="108" t="str">
        <f>道路!C35</f>
        <v>m2</v>
      </c>
      <c r="H77" s="6">
        <f>道路!D35</f>
        <v>7106</v>
      </c>
      <c r="I77" s="129">
        <f>道路!E35</f>
        <v>250</v>
      </c>
      <c r="J77" s="131"/>
      <c r="K77" s="114"/>
    </row>
    <row r="78" s="97" customFormat="1" spans="1:11">
      <c r="A78" s="113">
        <v>1.8</v>
      </c>
      <c r="B78" s="116" t="str">
        <f>道路!B36</f>
        <v>标线恢复</v>
      </c>
      <c r="C78" s="108">
        <f t="shared" si="12"/>
        <v>2.40975</v>
      </c>
      <c r="D78" s="108"/>
      <c r="E78" s="108"/>
      <c r="F78" s="108">
        <f t="shared" si="9"/>
        <v>2.40975</v>
      </c>
      <c r="G78" s="108" t="str">
        <f>道路!C36</f>
        <v>m2</v>
      </c>
      <c r="H78" s="6">
        <f>道路!D36</f>
        <v>803.25</v>
      </c>
      <c r="I78" s="129">
        <f>道路!E36</f>
        <v>30</v>
      </c>
      <c r="J78" s="131"/>
      <c r="K78" s="114"/>
    </row>
    <row r="79" s="97" customFormat="1" spans="1:11">
      <c r="A79" s="113">
        <v>1.9</v>
      </c>
      <c r="B79" s="116" t="str">
        <f>道路!B37</f>
        <v>施工措施项目费</v>
      </c>
      <c r="C79" s="108">
        <f t="shared" si="12"/>
        <v>184.84375</v>
      </c>
      <c r="D79" s="108"/>
      <c r="E79" s="108"/>
      <c r="F79" s="108">
        <f t="shared" si="9"/>
        <v>184.84375</v>
      </c>
      <c r="G79" s="108" t="str">
        <f>道路!C37</f>
        <v>m2</v>
      </c>
      <c r="H79" s="6">
        <f>道路!D37</f>
        <v>36968.75</v>
      </c>
      <c r="I79" s="129">
        <f>道路!E37</f>
        <v>50</v>
      </c>
      <c r="J79" s="131"/>
      <c r="K79" s="114"/>
    </row>
    <row r="80" s="98" customFormat="1" ht="21" customHeight="1" spans="1:11">
      <c r="A80" s="112">
        <v>2</v>
      </c>
      <c r="B80" s="110" t="s">
        <v>53</v>
      </c>
      <c r="C80" s="111">
        <f>C81+C91+C97</f>
        <v>1325.78</v>
      </c>
      <c r="D80" s="111"/>
      <c r="E80" s="111"/>
      <c r="F80" s="111">
        <f t="shared" si="9"/>
        <v>1325.78</v>
      </c>
      <c r="G80" s="111" t="s">
        <v>49</v>
      </c>
      <c r="H80" s="111">
        <f>H81+H91+H97</f>
        <v>5470</v>
      </c>
      <c r="I80" s="128">
        <f>F80/H80*10000</f>
        <v>2423.72943327239</v>
      </c>
      <c r="J80" s="132"/>
      <c r="K80" s="133"/>
    </row>
    <row r="81" s="98" customFormat="1" ht="33" customHeight="1" spans="1:11">
      <c r="A81" s="112">
        <v>2.1</v>
      </c>
      <c r="B81" s="110" t="s">
        <v>55</v>
      </c>
      <c r="C81" s="111">
        <f>SUM(C82:C90)</f>
        <v>888.92</v>
      </c>
      <c r="D81" s="111"/>
      <c r="E81" s="111"/>
      <c r="F81" s="111">
        <f t="shared" si="9"/>
        <v>888.92</v>
      </c>
      <c r="G81" s="111" t="s">
        <v>49</v>
      </c>
      <c r="H81" s="111">
        <f>SUM(H82:H86)</f>
        <v>2990</v>
      </c>
      <c r="I81" s="128">
        <f>F81/H81*10000</f>
        <v>2972.97658862876</v>
      </c>
      <c r="J81" s="132"/>
      <c r="K81" s="133"/>
    </row>
    <row r="82" s="98" customFormat="1" ht="36" customHeight="1" spans="1:11">
      <c r="A82" s="113" t="s">
        <v>127</v>
      </c>
      <c r="B82" s="116" t="str">
        <f>给排水!C40</f>
        <v>II级钢筋混凝土管d300</v>
      </c>
      <c r="C82" s="108">
        <f t="shared" ref="C82:C90" si="13">H82*I82/10000</f>
        <v>15.4</v>
      </c>
      <c r="D82" s="108"/>
      <c r="E82" s="108"/>
      <c r="F82" s="108">
        <f t="shared" si="9"/>
        <v>15.4</v>
      </c>
      <c r="G82" s="108" t="str">
        <f>给排水!E40</f>
        <v>m</v>
      </c>
      <c r="H82" s="108">
        <f>给排水!D40</f>
        <v>1100</v>
      </c>
      <c r="I82" s="115">
        <f>给排水!F40</f>
        <v>140</v>
      </c>
      <c r="J82" s="132"/>
      <c r="K82" s="114" t="str">
        <f>给排水!H40</f>
        <v>雨水口连接管</v>
      </c>
    </row>
    <row r="83" s="98" customFormat="1" ht="36" customHeight="1" spans="1:11">
      <c r="A83" s="113" t="s">
        <v>128</v>
      </c>
      <c r="B83" s="116" t="str">
        <f>给排水!C41</f>
        <v>II级钢筋混凝土管d600</v>
      </c>
      <c r="C83" s="108">
        <f t="shared" si="13"/>
        <v>15.4825</v>
      </c>
      <c r="D83" s="108"/>
      <c r="E83" s="108"/>
      <c r="F83" s="108">
        <f t="shared" si="9"/>
        <v>15.4825</v>
      </c>
      <c r="G83" s="108" t="str">
        <f>给排水!E41</f>
        <v>m</v>
      </c>
      <c r="H83" s="108">
        <f>给排水!D41</f>
        <v>275</v>
      </c>
      <c r="I83" s="115">
        <f>给排水!F41</f>
        <v>563</v>
      </c>
      <c r="J83" s="132"/>
      <c r="K83" s="114" t="str">
        <f>给排水!H41</f>
        <v>地块预留支管</v>
      </c>
    </row>
    <row r="84" s="98" customFormat="1" ht="36" customHeight="1" spans="1:11">
      <c r="A84" s="113" t="s">
        <v>129</v>
      </c>
      <c r="B84" s="116" t="str">
        <f>给排水!C42</f>
        <v>II级钢筋混凝土管d1200</v>
      </c>
      <c r="C84" s="108">
        <f t="shared" si="13"/>
        <v>35.84</v>
      </c>
      <c r="D84" s="108"/>
      <c r="E84" s="108"/>
      <c r="F84" s="108">
        <f t="shared" si="9"/>
        <v>35.84</v>
      </c>
      <c r="G84" s="108" t="str">
        <f>给排水!E42</f>
        <v>m</v>
      </c>
      <c r="H84" s="108">
        <f>给排水!D42</f>
        <v>280</v>
      </c>
      <c r="I84" s="115">
        <f>给排水!F42</f>
        <v>1280</v>
      </c>
      <c r="J84" s="132"/>
      <c r="K84" s="114"/>
    </row>
    <row r="85" s="98" customFormat="1" ht="36" customHeight="1" spans="1:11">
      <c r="A85" s="113" t="s">
        <v>130</v>
      </c>
      <c r="B85" s="116" t="str">
        <f>给排水!C43</f>
        <v>II级钢筋混凝土管d1500</v>
      </c>
      <c r="C85" s="108">
        <f t="shared" si="13"/>
        <v>136.15</v>
      </c>
      <c r="D85" s="108"/>
      <c r="E85" s="108"/>
      <c r="F85" s="108">
        <f t="shared" si="9"/>
        <v>136.15</v>
      </c>
      <c r="G85" s="108" t="str">
        <f>给排水!E43</f>
        <v>m</v>
      </c>
      <c r="H85" s="108">
        <f>给排水!D43</f>
        <v>700</v>
      </c>
      <c r="I85" s="115">
        <f>给排水!F43</f>
        <v>1945</v>
      </c>
      <c r="J85" s="132"/>
      <c r="K85" s="114"/>
    </row>
    <row r="86" s="98" customFormat="1" ht="36" customHeight="1" spans="1:11">
      <c r="A86" s="113" t="s">
        <v>131</v>
      </c>
      <c r="B86" s="116" t="str">
        <f>给排水!C44</f>
        <v>II级钢筋混凝土管d1800</v>
      </c>
      <c r="C86" s="108">
        <f t="shared" si="13"/>
        <v>156.5275</v>
      </c>
      <c r="D86" s="108"/>
      <c r="E86" s="108"/>
      <c r="F86" s="108">
        <f t="shared" si="9"/>
        <v>156.5275</v>
      </c>
      <c r="G86" s="108" t="str">
        <f>给排水!E44</f>
        <v>m</v>
      </c>
      <c r="H86" s="108">
        <f>给排水!D44</f>
        <v>635</v>
      </c>
      <c r="I86" s="115">
        <f>给排水!F44</f>
        <v>2465</v>
      </c>
      <c r="J86" s="132"/>
      <c r="K86" s="114"/>
    </row>
    <row r="87" s="98" customFormat="1" ht="36" customHeight="1" spans="1:11">
      <c r="A87" s="113" t="s">
        <v>132</v>
      </c>
      <c r="B87" s="116" t="str">
        <f>给排水!C45</f>
        <v>雨水检查井</v>
      </c>
      <c r="C87" s="108">
        <f t="shared" si="13"/>
        <v>64</v>
      </c>
      <c r="D87" s="108"/>
      <c r="E87" s="108"/>
      <c r="F87" s="108">
        <f t="shared" si="9"/>
        <v>64</v>
      </c>
      <c r="G87" s="108" t="str">
        <f>给排水!E45</f>
        <v>座</v>
      </c>
      <c r="H87" s="108">
        <f>给排水!D45</f>
        <v>80</v>
      </c>
      <c r="I87" s="115">
        <f>给排水!F45</f>
        <v>8000</v>
      </c>
      <c r="J87" s="132"/>
      <c r="K87" s="114" t="str">
        <f>给排水!H45</f>
        <v>钢筋混凝土检查井，详见图集04S531-5</v>
      </c>
    </row>
    <row r="88" s="98" customFormat="1" ht="33" customHeight="1" spans="1:11">
      <c r="A88" s="113" t="s">
        <v>133</v>
      </c>
      <c r="B88" s="116" t="str">
        <f>给排水!C46</f>
        <v>双箅雨水口</v>
      </c>
      <c r="C88" s="108">
        <f t="shared" si="13"/>
        <v>13.2</v>
      </c>
      <c r="D88" s="108"/>
      <c r="E88" s="108"/>
      <c r="F88" s="108">
        <f t="shared" si="9"/>
        <v>13.2</v>
      </c>
      <c r="G88" s="108" t="str">
        <f>给排水!E46</f>
        <v>座</v>
      </c>
      <c r="H88" s="108">
        <f>给排水!D46</f>
        <v>120</v>
      </c>
      <c r="I88" s="115">
        <f>给排水!F46</f>
        <v>1100</v>
      </c>
      <c r="J88" s="132"/>
      <c r="K88" s="114" t="str">
        <f>给排水!H46</f>
        <v>参16S518-P43</v>
      </c>
    </row>
    <row r="89" s="98" customFormat="1" ht="33" customHeight="1" spans="1:11">
      <c r="A89" s="113" t="s">
        <v>134</v>
      </c>
      <c r="B89" s="116" t="str">
        <f>给排水!C47</f>
        <v>挖方</v>
      </c>
      <c r="C89" s="108">
        <f t="shared" si="13"/>
        <v>378.32</v>
      </c>
      <c r="D89" s="108"/>
      <c r="E89" s="108"/>
      <c r="F89" s="108">
        <f t="shared" si="9"/>
        <v>378.32</v>
      </c>
      <c r="G89" s="108" t="str">
        <f>给排水!E47</f>
        <v>m3</v>
      </c>
      <c r="H89" s="108">
        <f>给排水!D47</f>
        <v>40920</v>
      </c>
      <c r="I89" s="115">
        <f>给排水!F47</f>
        <v>92.4535679374389</v>
      </c>
      <c r="J89" s="132"/>
      <c r="K89" s="114" t="str">
        <f>给排水!H47</f>
        <v>注：表中土石方量仅供参考，以现场实际开挖量为准。</v>
      </c>
    </row>
    <row r="90" s="98" customFormat="1" ht="33" customHeight="1" spans="1:11">
      <c r="A90" s="113" t="s">
        <v>135</v>
      </c>
      <c r="B90" s="116" t="str">
        <f>给排水!C48</f>
        <v>填方</v>
      </c>
      <c r="C90" s="108">
        <f t="shared" si="13"/>
        <v>74</v>
      </c>
      <c r="D90" s="108"/>
      <c r="E90" s="108"/>
      <c r="F90" s="108">
        <f t="shared" si="9"/>
        <v>74</v>
      </c>
      <c r="G90" s="108" t="str">
        <f>给排水!E48</f>
        <v>m3</v>
      </c>
      <c r="H90" s="108">
        <f>给排水!D48</f>
        <v>37000</v>
      </c>
      <c r="I90" s="115">
        <f>给排水!F48</f>
        <v>20</v>
      </c>
      <c r="J90" s="132"/>
      <c r="K90" s="114" t="str">
        <f>给排水!H48</f>
        <v>注：表中土石方量仅供参考，以现场实际开挖量为准。</v>
      </c>
    </row>
    <row r="91" s="98" customFormat="1" ht="39" customHeight="1" spans="1:11">
      <c r="A91" s="112">
        <v>2.2</v>
      </c>
      <c r="B91" s="110" t="s">
        <v>56</v>
      </c>
      <c r="C91" s="111">
        <f>SUM(C92:C96)</f>
        <v>406.86</v>
      </c>
      <c r="D91" s="111"/>
      <c r="E91" s="111"/>
      <c r="F91" s="111">
        <f t="shared" si="9"/>
        <v>406.86</v>
      </c>
      <c r="G91" s="111" t="s">
        <v>49</v>
      </c>
      <c r="H91" s="111">
        <f>SUM(H92:H93)</f>
        <v>2280</v>
      </c>
      <c r="I91" s="128">
        <f>F91/H91*10000</f>
        <v>1784.47368421053</v>
      </c>
      <c r="J91" s="134"/>
      <c r="K91" s="133"/>
    </row>
    <row r="92" s="97" customFormat="1" ht="36" customHeight="1" spans="1:11">
      <c r="A92" s="113" t="s">
        <v>136</v>
      </c>
      <c r="B92" s="116" t="str">
        <f>给排水!C49</f>
        <v>新型钢带增强聚乙烯螺旋波纹管d400</v>
      </c>
      <c r="C92" s="108">
        <f t="shared" ref="C92:C96" si="14">H92*I92/10000</f>
        <v>12.6</v>
      </c>
      <c r="D92" s="108"/>
      <c r="E92" s="108"/>
      <c r="F92" s="108">
        <f t="shared" si="9"/>
        <v>12.6</v>
      </c>
      <c r="G92" s="108" t="str">
        <f>给排水!E49</f>
        <v>m</v>
      </c>
      <c r="H92" s="108">
        <f>给排水!D49</f>
        <v>630</v>
      </c>
      <c r="I92" s="115">
        <f>给排水!F49</f>
        <v>200</v>
      </c>
      <c r="J92" s="131"/>
      <c r="K92" s="114" t="str">
        <f>给排水!H49</f>
        <v>环刚度≥8KN/m2</v>
      </c>
    </row>
    <row r="93" s="98" customFormat="1" ht="36" customHeight="1" spans="1:11">
      <c r="A93" s="113" t="s">
        <v>137</v>
      </c>
      <c r="B93" s="116" t="str">
        <f>给排水!C50</f>
        <v>新型钢带增强聚乙烯螺旋波纹管d500</v>
      </c>
      <c r="C93" s="108">
        <f t="shared" si="14"/>
        <v>39.6</v>
      </c>
      <c r="D93" s="108"/>
      <c r="E93" s="108"/>
      <c r="F93" s="108">
        <f t="shared" si="9"/>
        <v>39.6</v>
      </c>
      <c r="G93" s="108" t="str">
        <f>给排水!E50</f>
        <v>m</v>
      </c>
      <c r="H93" s="108">
        <f>给排水!D50</f>
        <v>1650</v>
      </c>
      <c r="I93" s="115">
        <f>给排水!F50</f>
        <v>240</v>
      </c>
      <c r="J93" s="134"/>
      <c r="K93" s="114" t="str">
        <f>给排水!H50</f>
        <v>环刚度≥8KN/m2</v>
      </c>
    </row>
    <row r="94" s="98" customFormat="1" ht="36" customHeight="1" spans="1:11">
      <c r="A94" s="113" t="s">
        <v>138</v>
      </c>
      <c r="B94" s="116" t="str">
        <f>给排水!C51</f>
        <v>污水检查井</v>
      </c>
      <c r="C94" s="108">
        <f t="shared" si="14"/>
        <v>85</v>
      </c>
      <c r="D94" s="108"/>
      <c r="E94" s="108"/>
      <c r="F94" s="108">
        <f t="shared" si="9"/>
        <v>85</v>
      </c>
      <c r="G94" s="108" t="str">
        <f>给排水!E51</f>
        <v>座</v>
      </c>
      <c r="H94" s="108">
        <f>给排水!D51</f>
        <v>85</v>
      </c>
      <c r="I94" s="115">
        <f>给排水!F51</f>
        <v>10000</v>
      </c>
      <c r="J94" s="134"/>
      <c r="K94" s="114" t="str">
        <f>给排水!H51</f>
        <v>钢筋混凝土检查井，详见图集04S531-5-P15</v>
      </c>
    </row>
    <row r="95" s="98" customFormat="1" ht="36" customHeight="1" spans="1:11">
      <c r="A95" s="113" t="s">
        <v>139</v>
      </c>
      <c r="B95" s="116" t="str">
        <f>给排水!C52</f>
        <v>挖方</v>
      </c>
      <c r="C95" s="108">
        <f t="shared" si="14"/>
        <v>217.66</v>
      </c>
      <c r="D95" s="108"/>
      <c r="E95" s="108"/>
      <c r="F95" s="108">
        <f t="shared" si="9"/>
        <v>217.66</v>
      </c>
      <c r="G95" s="108" t="str">
        <f>给排水!E52</f>
        <v>m3</v>
      </c>
      <c r="H95" s="108">
        <f>给排水!D52</f>
        <v>26460</v>
      </c>
      <c r="I95" s="115">
        <f>给排水!F52</f>
        <v>82.260015117158</v>
      </c>
      <c r="J95" s="134"/>
      <c r="K95" s="114" t="str">
        <f>给排水!H52</f>
        <v>注：表中土石方量仅供参考，以现场实际开挖量为准。</v>
      </c>
    </row>
    <row r="96" s="98" customFormat="1" ht="36" customHeight="1" spans="1:11">
      <c r="A96" s="113" t="s">
        <v>140</v>
      </c>
      <c r="B96" s="116" t="str">
        <f>给排水!C53</f>
        <v>填方</v>
      </c>
      <c r="C96" s="108">
        <f t="shared" si="14"/>
        <v>52</v>
      </c>
      <c r="D96" s="108"/>
      <c r="E96" s="108"/>
      <c r="F96" s="108">
        <f t="shared" si="9"/>
        <v>52</v>
      </c>
      <c r="G96" s="108" t="str">
        <f>给排水!E53</f>
        <v>m3</v>
      </c>
      <c r="H96" s="108">
        <f>给排水!D53</f>
        <v>26000</v>
      </c>
      <c r="I96" s="115">
        <f>给排水!F53</f>
        <v>20</v>
      </c>
      <c r="J96" s="134"/>
      <c r="K96" s="114" t="str">
        <f>给排水!H53</f>
        <v>注：表中土石方量仅供参考，以现场实际开挖量为准。</v>
      </c>
    </row>
    <row r="97" s="98" customFormat="1" ht="36" customHeight="1" spans="1:11">
      <c r="A97" s="112">
        <v>2.3</v>
      </c>
      <c r="B97" s="110" t="s">
        <v>57</v>
      </c>
      <c r="C97" s="111">
        <f>SUM(C98:C100)</f>
        <v>30</v>
      </c>
      <c r="D97" s="111"/>
      <c r="E97" s="111"/>
      <c r="F97" s="111">
        <f t="shared" si="9"/>
        <v>30</v>
      </c>
      <c r="G97" s="111" t="s">
        <v>49</v>
      </c>
      <c r="H97" s="111">
        <f>H98</f>
        <v>200</v>
      </c>
      <c r="I97" s="128">
        <f>C97/H97*10000</f>
        <v>1500</v>
      </c>
      <c r="J97" s="134"/>
      <c r="K97" s="133"/>
    </row>
    <row r="98" s="98" customFormat="1" ht="36" customHeight="1" spans="1:11">
      <c r="A98" s="113" t="s">
        <v>141</v>
      </c>
      <c r="B98" s="116" t="str">
        <f>给排水!C54</f>
        <v>管道疏浚</v>
      </c>
      <c r="C98" s="108">
        <f t="shared" ref="C98:C101" si="15">H98*I98/10000</f>
        <v>4</v>
      </c>
      <c r="D98" s="108"/>
      <c r="E98" s="108"/>
      <c r="F98" s="108">
        <f t="shared" si="9"/>
        <v>4</v>
      </c>
      <c r="G98" s="108" t="str">
        <f>给排水!E54</f>
        <v>m</v>
      </c>
      <c r="H98" s="108">
        <f>给排水!D54</f>
        <v>200</v>
      </c>
      <c r="I98" s="115">
        <f>给排水!F54</f>
        <v>200</v>
      </c>
      <c r="J98" s="134"/>
      <c r="K98" s="114" t="str">
        <f>给排水!H54</f>
        <v>原d1000雨污合流管道</v>
      </c>
    </row>
    <row r="99" s="98" customFormat="1" ht="36" customHeight="1" spans="1:11">
      <c r="A99" s="113" t="s">
        <v>142</v>
      </c>
      <c r="B99" s="116" t="str">
        <f>给排水!C55</f>
        <v>废除封堵</v>
      </c>
      <c r="C99" s="108">
        <f t="shared" si="15"/>
        <v>6</v>
      </c>
      <c r="D99" s="108"/>
      <c r="E99" s="108"/>
      <c r="F99" s="108">
        <f t="shared" si="9"/>
        <v>6</v>
      </c>
      <c r="G99" s="108" t="str">
        <f>给排水!E55</f>
        <v>处</v>
      </c>
      <c r="H99" s="108">
        <f>给排水!D55</f>
        <v>12</v>
      </c>
      <c r="I99" s="115">
        <f>给排水!F55</f>
        <v>5000</v>
      </c>
      <c r="J99" s="134"/>
      <c r="K99" s="133"/>
    </row>
    <row r="100" s="98" customFormat="1" ht="36" customHeight="1" spans="1:11">
      <c r="A100" s="113" t="s">
        <v>143</v>
      </c>
      <c r="B100" s="116" t="str">
        <f>给排水!C56</f>
        <v>管线迁改</v>
      </c>
      <c r="C100" s="108">
        <f t="shared" si="15"/>
        <v>20</v>
      </c>
      <c r="D100" s="108"/>
      <c r="E100" s="108"/>
      <c r="F100" s="108">
        <f t="shared" si="9"/>
        <v>20</v>
      </c>
      <c r="G100" s="108" t="str">
        <f>给排水!E56</f>
        <v>项</v>
      </c>
      <c r="H100" s="108">
        <f>给排水!D56</f>
        <v>1</v>
      </c>
      <c r="I100" s="115">
        <f>给排水!F56</f>
        <v>200000</v>
      </c>
      <c r="J100" s="134"/>
      <c r="K100" s="133"/>
    </row>
    <row r="101" s="98" customFormat="1" ht="26" customHeight="1" spans="1:11">
      <c r="A101" s="112">
        <v>3</v>
      </c>
      <c r="B101" s="110" t="s">
        <v>58</v>
      </c>
      <c r="C101" s="111">
        <f t="shared" si="15"/>
        <v>130.584907140386</v>
      </c>
      <c r="D101" s="111"/>
      <c r="E101" s="111"/>
      <c r="F101" s="111">
        <f t="shared" si="9"/>
        <v>130.584907140386</v>
      </c>
      <c r="G101" s="111" t="s">
        <v>59</v>
      </c>
      <c r="H101" s="111">
        <v>1</v>
      </c>
      <c r="I101" s="128">
        <f>O12</f>
        <v>1305849.07140386</v>
      </c>
      <c r="J101" s="132"/>
      <c r="K101" s="133"/>
    </row>
    <row r="102" s="97" customFormat="1" ht="18" customHeight="1" spans="1:11">
      <c r="A102" s="109" t="s">
        <v>64</v>
      </c>
      <c r="B102" s="110" t="s">
        <v>11</v>
      </c>
      <c r="C102" s="111">
        <f>C103+C114+C140</f>
        <v>3755.44996604934</v>
      </c>
      <c r="D102" s="111"/>
      <c r="E102" s="111"/>
      <c r="F102" s="111">
        <f t="shared" si="9"/>
        <v>3755.44996604934</v>
      </c>
      <c r="G102" s="111" t="s">
        <v>49</v>
      </c>
      <c r="H102" s="111">
        <f>H114</f>
        <v>6760</v>
      </c>
      <c r="I102" s="111">
        <f>F102/H102*10000</f>
        <v>5555.39935806115</v>
      </c>
      <c r="J102" s="126"/>
      <c r="K102" s="123"/>
    </row>
    <row r="103" s="97" customFormat="1" spans="1:11">
      <c r="A103" s="112">
        <v>1</v>
      </c>
      <c r="B103" s="110" t="s">
        <v>51</v>
      </c>
      <c r="C103" s="111">
        <f>SUM(C104:C113)</f>
        <v>1923.945414</v>
      </c>
      <c r="D103" s="111"/>
      <c r="E103" s="111"/>
      <c r="F103" s="111">
        <f t="shared" si="9"/>
        <v>1923.945414</v>
      </c>
      <c r="G103" s="111" t="s">
        <v>52</v>
      </c>
      <c r="H103" s="111">
        <f>H113</f>
        <v>41158.41</v>
      </c>
      <c r="I103" s="128">
        <f>F103/H103*10000</f>
        <v>467.448916029555</v>
      </c>
      <c r="J103" s="126"/>
      <c r="K103" s="123"/>
    </row>
    <row r="104" s="97" customFormat="1" ht="48" customHeight="1" spans="1:11">
      <c r="A104" s="113">
        <f>道路!A41</f>
        <v>1.1</v>
      </c>
      <c r="B104" s="116" t="str">
        <f>道路!B41</f>
        <v>路面破除</v>
      </c>
      <c r="C104" s="108">
        <f t="shared" ref="C104:C113" si="16">I104*H104/10000</f>
        <v>156.82392</v>
      </c>
      <c r="D104" s="108"/>
      <c r="E104" s="108"/>
      <c r="F104" s="108">
        <f t="shared" si="9"/>
        <v>156.82392</v>
      </c>
      <c r="G104" s="108" t="str">
        <f>道路!C41</f>
        <v>m2</v>
      </c>
      <c r="H104" s="6">
        <f>道路!D41</f>
        <v>28315.43</v>
      </c>
      <c r="I104" s="129">
        <f>道路!E41</f>
        <v>55.3846153846154</v>
      </c>
      <c r="J104" s="126"/>
      <c r="K104" s="114" t="s">
        <v>148</v>
      </c>
    </row>
    <row r="105" s="97" customFormat="1" ht="84" spans="1:11">
      <c r="A105" s="113">
        <f>道路!A42</f>
        <v>1.2</v>
      </c>
      <c r="B105" s="116" t="str">
        <f>道路!B42</f>
        <v>路面恢复(破除宽大于3m)</v>
      </c>
      <c r="C105" s="108">
        <f t="shared" si="16"/>
        <v>1240.215834</v>
      </c>
      <c r="D105" s="108"/>
      <c r="E105" s="108"/>
      <c r="F105" s="108">
        <f t="shared" si="9"/>
        <v>1240.215834</v>
      </c>
      <c r="G105" s="108" t="str">
        <f>道路!C42</f>
        <v>m2</v>
      </c>
      <c r="H105" s="6">
        <f>道路!D42</f>
        <v>28315.43</v>
      </c>
      <c r="I105" s="129">
        <f>道路!E42</f>
        <v>438</v>
      </c>
      <c r="J105" s="131"/>
      <c r="K105" s="114" t="s">
        <v>149</v>
      </c>
    </row>
    <row r="106" s="97" customFormat="1" spans="1:11">
      <c r="A106" s="113">
        <f>道路!A43</f>
        <v>1.3</v>
      </c>
      <c r="B106" s="116" t="str">
        <f>道路!B43</f>
        <v>机制C30砼路缘石15x40x100cm</v>
      </c>
      <c r="C106" s="108">
        <f t="shared" si="16"/>
        <v>32.01</v>
      </c>
      <c r="D106" s="108"/>
      <c r="E106" s="108"/>
      <c r="F106" s="108">
        <f t="shared" si="9"/>
        <v>32.01</v>
      </c>
      <c r="G106" s="108" t="str">
        <f>道路!C43</f>
        <v>m</v>
      </c>
      <c r="H106" s="6">
        <f>道路!D43</f>
        <v>4268</v>
      </c>
      <c r="I106" s="129">
        <f>道路!E43</f>
        <v>75</v>
      </c>
      <c r="J106" s="131"/>
      <c r="K106" s="114"/>
    </row>
    <row r="107" s="97" customFormat="1" ht="36" customHeight="1" spans="1:11">
      <c r="A107" s="113">
        <f>道路!A44</f>
        <v>1.4</v>
      </c>
      <c r="B107" s="116" t="str">
        <f>道路!B44</f>
        <v>人行道破除</v>
      </c>
      <c r="C107" s="108">
        <f t="shared" si="16"/>
        <v>35.24994</v>
      </c>
      <c r="D107" s="108"/>
      <c r="E107" s="108"/>
      <c r="F107" s="108">
        <f t="shared" si="9"/>
        <v>35.24994</v>
      </c>
      <c r="G107" s="108" t="str">
        <f>道路!C44</f>
        <v>m2</v>
      </c>
      <c r="H107" s="6">
        <f>道路!D44</f>
        <v>11749.98</v>
      </c>
      <c r="I107" s="129">
        <f>道路!E44</f>
        <v>30</v>
      </c>
      <c r="J107" s="131"/>
      <c r="K107" s="114"/>
    </row>
    <row r="108" s="97" customFormat="1" ht="56" customHeight="1" spans="1:11">
      <c r="A108" s="113">
        <f>道路!A45</f>
        <v>1.5</v>
      </c>
      <c r="B108" s="116" t="str">
        <f>道路!B45</f>
        <v>人行道恢复</v>
      </c>
      <c r="C108" s="108">
        <f t="shared" si="16"/>
        <v>193.87467</v>
      </c>
      <c r="D108" s="108"/>
      <c r="E108" s="108"/>
      <c r="F108" s="108">
        <f t="shared" si="9"/>
        <v>193.87467</v>
      </c>
      <c r="G108" s="108" t="str">
        <f>道路!C45</f>
        <v>m2</v>
      </c>
      <c r="H108" s="6">
        <f>道路!D45</f>
        <v>11749.98</v>
      </c>
      <c r="I108" s="129">
        <f>道路!E45</f>
        <v>165</v>
      </c>
      <c r="J108" s="131"/>
      <c r="K108" s="114" t="s">
        <v>147</v>
      </c>
    </row>
    <row r="109" s="97" customFormat="1" spans="1:11">
      <c r="A109" s="113">
        <f>道路!A46</f>
        <v>1.6</v>
      </c>
      <c r="B109" s="116" t="str">
        <f>道路!B46</f>
        <v>标线恢复</v>
      </c>
      <c r="C109" s="108">
        <f t="shared" si="16"/>
        <v>2.619</v>
      </c>
      <c r="D109" s="108"/>
      <c r="E109" s="108"/>
      <c r="F109" s="108">
        <f t="shared" si="9"/>
        <v>2.619</v>
      </c>
      <c r="G109" s="108" t="str">
        <f>道路!C46</f>
        <v>m2</v>
      </c>
      <c r="H109" s="6">
        <f>道路!D46</f>
        <v>873</v>
      </c>
      <c r="I109" s="129">
        <f>道路!E46</f>
        <v>30</v>
      </c>
      <c r="J109" s="131"/>
      <c r="K109" s="6"/>
    </row>
    <row r="110" s="97" customFormat="1" ht="25" customHeight="1" spans="1:11">
      <c r="A110" s="113">
        <f>道路!A47</f>
        <v>1.7</v>
      </c>
      <c r="B110" s="116" t="str">
        <f>道路!B47</f>
        <v>行道树迁移及恢复</v>
      </c>
      <c r="C110" s="108">
        <f t="shared" si="16"/>
        <v>51.2</v>
      </c>
      <c r="D110" s="108"/>
      <c r="E110" s="108"/>
      <c r="F110" s="108">
        <f t="shared" si="9"/>
        <v>51.2</v>
      </c>
      <c r="G110" s="108" t="str">
        <f>道路!C47</f>
        <v>棵</v>
      </c>
      <c r="H110" s="6">
        <f>道路!D47</f>
        <v>640</v>
      </c>
      <c r="I110" s="129">
        <f>道路!E47</f>
        <v>800</v>
      </c>
      <c r="J110" s="131"/>
      <c r="K110" s="6"/>
    </row>
    <row r="111" s="97" customFormat="1" ht="25" customHeight="1" spans="1:11">
      <c r="A111" s="113">
        <f>道路!A48</f>
        <v>1.8</v>
      </c>
      <c r="B111" s="116" t="str">
        <f>道路!B48</f>
        <v>侧分带破除</v>
      </c>
      <c r="C111" s="108">
        <f t="shared" si="16"/>
        <v>0.66</v>
      </c>
      <c r="D111" s="108"/>
      <c r="E111" s="108"/>
      <c r="F111" s="108">
        <f t="shared" si="9"/>
        <v>0.66</v>
      </c>
      <c r="G111" s="108" t="str">
        <f>道路!C48</f>
        <v>m2</v>
      </c>
      <c r="H111" s="6">
        <f>道路!D48</f>
        <v>220</v>
      </c>
      <c r="I111" s="129">
        <f>道路!E48</f>
        <v>30</v>
      </c>
      <c r="J111" s="131"/>
      <c r="K111" s="6"/>
    </row>
    <row r="112" s="97" customFormat="1" ht="25" customHeight="1" spans="1:11">
      <c r="A112" s="113">
        <f>道路!A49</f>
        <v>1.9</v>
      </c>
      <c r="B112" s="116" t="str">
        <f>道路!B49</f>
        <v>侧分带恢复</v>
      </c>
      <c r="C112" s="108">
        <f t="shared" si="16"/>
        <v>5.5</v>
      </c>
      <c r="D112" s="108"/>
      <c r="E112" s="108"/>
      <c r="F112" s="108">
        <f t="shared" si="9"/>
        <v>5.5</v>
      </c>
      <c r="G112" s="108" t="str">
        <f>道路!C49</f>
        <v>m2</v>
      </c>
      <c r="H112" s="6">
        <f>道路!D49</f>
        <v>220</v>
      </c>
      <c r="I112" s="129">
        <f>道路!E49</f>
        <v>250</v>
      </c>
      <c r="J112" s="131"/>
      <c r="K112" s="6"/>
    </row>
    <row r="113" s="97" customFormat="1" ht="25" customHeight="1" spans="1:11">
      <c r="A113" s="117">
        <v>1.1</v>
      </c>
      <c r="B113" s="116" t="str">
        <f>道路!B50</f>
        <v>施工措施项目费</v>
      </c>
      <c r="C113" s="108">
        <f t="shared" si="16"/>
        <v>205.79205</v>
      </c>
      <c r="D113" s="108"/>
      <c r="E113" s="108"/>
      <c r="F113" s="108">
        <f t="shared" si="9"/>
        <v>205.79205</v>
      </c>
      <c r="G113" s="108" t="str">
        <f>道路!C50</f>
        <v>m2</v>
      </c>
      <c r="H113" s="6">
        <f>道路!D50</f>
        <v>41158.41</v>
      </c>
      <c r="I113" s="129">
        <f>道路!E50</f>
        <v>50</v>
      </c>
      <c r="J113" s="131"/>
      <c r="K113" s="6"/>
    </row>
    <row r="114" s="98" customFormat="1" ht="21" customHeight="1" spans="1:11">
      <c r="A114" s="112">
        <v>2</v>
      </c>
      <c r="B114" s="110" t="s">
        <v>53</v>
      </c>
      <c r="C114" s="111">
        <f>C115+C128+C136</f>
        <v>1663.525</v>
      </c>
      <c r="D114" s="111"/>
      <c r="E114" s="111"/>
      <c r="F114" s="111">
        <f t="shared" si="9"/>
        <v>1663.525</v>
      </c>
      <c r="G114" s="111" t="s">
        <v>49</v>
      </c>
      <c r="H114" s="111">
        <f>H115+H128</f>
        <v>6760</v>
      </c>
      <c r="I114" s="128">
        <f>F114/H114*10000</f>
        <v>2460.83579881657</v>
      </c>
      <c r="J114" s="132"/>
      <c r="K114" s="133"/>
    </row>
    <row r="115" s="98" customFormat="1" ht="33" customHeight="1" spans="1:11">
      <c r="A115" s="112">
        <v>2.1</v>
      </c>
      <c r="B115" s="110" t="s">
        <v>55</v>
      </c>
      <c r="C115" s="111">
        <f>SUM(C116:C127)</f>
        <v>1152.993</v>
      </c>
      <c r="D115" s="111"/>
      <c r="E115" s="111"/>
      <c r="F115" s="111">
        <f t="shared" si="9"/>
        <v>1152.993</v>
      </c>
      <c r="G115" s="111" t="s">
        <v>49</v>
      </c>
      <c r="H115" s="111">
        <f>SUM(H116:H123)</f>
        <v>4290</v>
      </c>
      <c r="I115" s="128">
        <f>F115/H115*10000</f>
        <v>2687.62937062937</v>
      </c>
      <c r="J115" s="132"/>
      <c r="K115" s="133"/>
    </row>
    <row r="116" s="98" customFormat="1" ht="36" customHeight="1" spans="1:11">
      <c r="A116" s="113" t="s">
        <v>127</v>
      </c>
      <c r="B116" s="116" t="str">
        <f>给排水!C59</f>
        <v>II级钢筋混凝土管d300</v>
      </c>
      <c r="C116" s="108">
        <f t="shared" ref="C116:C127" si="17">H116*I116/10000</f>
        <v>29.4</v>
      </c>
      <c r="D116" s="108"/>
      <c r="E116" s="108"/>
      <c r="F116" s="108">
        <f t="shared" si="9"/>
        <v>29.4</v>
      </c>
      <c r="G116" s="108" t="str">
        <f>给排水!E59</f>
        <v>m</v>
      </c>
      <c r="H116" s="108">
        <f>给排水!D59</f>
        <v>2100</v>
      </c>
      <c r="I116" s="115">
        <f>给排水!F59</f>
        <v>140</v>
      </c>
      <c r="J116" s="132"/>
      <c r="K116" s="114" t="str">
        <f>给排水!H59</f>
        <v>雨水口连接管</v>
      </c>
    </row>
    <row r="117" s="98" customFormat="1" ht="36" customHeight="1" spans="1:11">
      <c r="A117" s="113" t="s">
        <v>128</v>
      </c>
      <c r="B117" s="116" t="str">
        <f>给排水!C60</f>
        <v>II级钢筋混凝土管d600</v>
      </c>
      <c r="C117" s="108">
        <f t="shared" si="17"/>
        <v>11.823</v>
      </c>
      <c r="D117" s="108"/>
      <c r="E117" s="108"/>
      <c r="F117" s="108">
        <f t="shared" si="9"/>
        <v>11.823</v>
      </c>
      <c r="G117" s="108" t="str">
        <f>给排水!E60</f>
        <v>m</v>
      </c>
      <c r="H117" s="108">
        <f>给排水!D60</f>
        <v>210</v>
      </c>
      <c r="I117" s="115">
        <f>给排水!F60</f>
        <v>563</v>
      </c>
      <c r="J117" s="132"/>
      <c r="K117" s="114" t="str">
        <f>给排水!H60</f>
        <v>地块预留支管</v>
      </c>
    </row>
    <row r="118" s="98" customFormat="1" ht="36" customHeight="1" spans="1:11">
      <c r="A118" s="113" t="s">
        <v>129</v>
      </c>
      <c r="B118" s="116" t="str">
        <f>给排水!C61</f>
        <v>II级钢筋混凝土管d1000</v>
      </c>
      <c r="C118" s="108">
        <f t="shared" si="17"/>
        <v>24.5</v>
      </c>
      <c r="D118" s="108"/>
      <c r="E118" s="108"/>
      <c r="F118" s="108">
        <f t="shared" si="9"/>
        <v>24.5</v>
      </c>
      <c r="G118" s="108" t="str">
        <f>给排水!E61</f>
        <v>m</v>
      </c>
      <c r="H118" s="108">
        <f>给排水!D61</f>
        <v>250</v>
      </c>
      <c r="I118" s="115">
        <f>给排水!F61</f>
        <v>980</v>
      </c>
      <c r="J118" s="132"/>
      <c r="K118" s="114"/>
    </row>
    <row r="119" s="98" customFormat="1" ht="36" customHeight="1" spans="1:11">
      <c r="A119" s="113" t="s">
        <v>130</v>
      </c>
      <c r="B119" s="116" t="str">
        <f>给排水!C62</f>
        <v>II级钢筋混凝土管d1200</v>
      </c>
      <c r="C119" s="108">
        <f t="shared" si="17"/>
        <v>23.04</v>
      </c>
      <c r="D119" s="108"/>
      <c r="E119" s="108"/>
      <c r="F119" s="108">
        <f t="shared" si="9"/>
        <v>23.04</v>
      </c>
      <c r="G119" s="108" t="str">
        <f>给排水!E62</f>
        <v>m</v>
      </c>
      <c r="H119" s="108">
        <f>给排水!D62</f>
        <v>180</v>
      </c>
      <c r="I119" s="115">
        <f>给排水!F62</f>
        <v>1280</v>
      </c>
      <c r="J119" s="132"/>
      <c r="K119" s="114"/>
    </row>
    <row r="120" s="98" customFormat="1" ht="36" customHeight="1" spans="1:11">
      <c r="A120" s="113" t="s">
        <v>131</v>
      </c>
      <c r="B120" s="116" t="str">
        <f>给排水!C63</f>
        <v>II级钢筋混凝土管d1500</v>
      </c>
      <c r="C120" s="108">
        <f t="shared" si="17"/>
        <v>93.36</v>
      </c>
      <c r="D120" s="108"/>
      <c r="E120" s="108"/>
      <c r="F120" s="108">
        <f t="shared" si="9"/>
        <v>93.36</v>
      </c>
      <c r="G120" s="108" t="str">
        <f>给排水!E63</f>
        <v>m</v>
      </c>
      <c r="H120" s="108">
        <f>给排水!D63</f>
        <v>480</v>
      </c>
      <c r="I120" s="115">
        <f>给排水!F63</f>
        <v>1945</v>
      </c>
      <c r="J120" s="132"/>
      <c r="K120" s="114"/>
    </row>
    <row r="121" s="98" customFormat="1" ht="36" customHeight="1" spans="1:11">
      <c r="A121" s="113" t="s">
        <v>132</v>
      </c>
      <c r="B121" s="116" t="str">
        <f>给排水!C64</f>
        <v>II级钢筋混凝土管d1650</v>
      </c>
      <c r="C121" s="108">
        <f t="shared" si="17"/>
        <v>53.75</v>
      </c>
      <c r="D121" s="108"/>
      <c r="E121" s="108"/>
      <c r="F121" s="108">
        <f t="shared" si="9"/>
        <v>53.75</v>
      </c>
      <c r="G121" s="108" t="str">
        <f>给排水!E64</f>
        <v>m</v>
      </c>
      <c r="H121" s="108">
        <f>给排水!D64</f>
        <v>250</v>
      </c>
      <c r="I121" s="115">
        <f>给排水!F64</f>
        <v>2150</v>
      </c>
      <c r="J121" s="132"/>
      <c r="K121" s="114"/>
    </row>
    <row r="122" s="98" customFormat="1" ht="33" customHeight="1" spans="1:11">
      <c r="A122" s="113" t="s">
        <v>133</v>
      </c>
      <c r="B122" s="116" t="str">
        <f>给排水!C65</f>
        <v>II级钢筋混凝土管d2000</v>
      </c>
      <c r="C122" s="108">
        <f t="shared" si="17"/>
        <v>79.2</v>
      </c>
      <c r="D122" s="108"/>
      <c r="E122" s="108"/>
      <c r="F122" s="108">
        <f t="shared" si="9"/>
        <v>79.2</v>
      </c>
      <c r="G122" s="108" t="str">
        <f>给排水!E65</f>
        <v>m</v>
      </c>
      <c r="H122" s="108">
        <f>给排水!D65</f>
        <v>240</v>
      </c>
      <c r="I122" s="115">
        <f>给排水!F65</f>
        <v>3300</v>
      </c>
      <c r="J122" s="132"/>
      <c r="K122" s="114"/>
    </row>
    <row r="123" s="98" customFormat="1" ht="33" customHeight="1" spans="1:11">
      <c r="A123" s="113" t="s">
        <v>134</v>
      </c>
      <c r="B123" s="116" t="str">
        <f>给排水!C66</f>
        <v>II级钢筋混凝土管d2200</v>
      </c>
      <c r="C123" s="108">
        <f t="shared" si="17"/>
        <v>203</v>
      </c>
      <c r="D123" s="108"/>
      <c r="E123" s="108"/>
      <c r="F123" s="108">
        <f t="shared" ref="F123:F186" si="18">SUM(C123:E123)</f>
        <v>203</v>
      </c>
      <c r="G123" s="108" t="str">
        <f>给排水!E66</f>
        <v>m</v>
      </c>
      <c r="H123" s="108">
        <f>给排水!D66</f>
        <v>580</v>
      </c>
      <c r="I123" s="115">
        <f>给排水!F66</f>
        <v>3500</v>
      </c>
      <c r="J123" s="132"/>
      <c r="K123" s="114"/>
    </row>
    <row r="124" s="98" customFormat="1" ht="33" customHeight="1" spans="1:11">
      <c r="A124" s="113" t="s">
        <v>135</v>
      </c>
      <c r="B124" s="116" t="str">
        <f>给排水!C67</f>
        <v>雨水检查井</v>
      </c>
      <c r="C124" s="108">
        <f t="shared" si="17"/>
        <v>60</v>
      </c>
      <c r="D124" s="108"/>
      <c r="E124" s="108"/>
      <c r="F124" s="108">
        <f t="shared" si="18"/>
        <v>60</v>
      </c>
      <c r="G124" s="108" t="str">
        <f>给排水!E67</f>
        <v>座</v>
      </c>
      <c r="H124" s="108">
        <f>给排水!D67</f>
        <v>75</v>
      </c>
      <c r="I124" s="115">
        <f>给排水!F67</f>
        <v>8000</v>
      </c>
      <c r="J124" s="132"/>
      <c r="K124" s="114" t="str">
        <f>给排水!H67</f>
        <v>钢筋混凝土检查井，详见图集04S531-5</v>
      </c>
    </row>
    <row r="125" s="98" customFormat="1" ht="33" customHeight="1" spans="1:11">
      <c r="A125" s="113" t="s">
        <v>150</v>
      </c>
      <c r="B125" s="116" t="str">
        <f>给排水!C68</f>
        <v>双箅雨水口</v>
      </c>
      <c r="C125" s="108">
        <f t="shared" si="17"/>
        <v>17.16</v>
      </c>
      <c r="D125" s="108"/>
      <c r="E125" s="108"/>
      <c r="F125" s="108">
        <f t="shared" si="18"/>
        <v>17.16</v>
      </c>
      <c r="G125" s="108" t="str">
        <f>给排水!E68</f>
        <v>座</v>
      </c>
      <c r="H125" s="108">
        <f>给排水!D68</f>
        <v>156</v>
      </c>
      <c r="I125" s="115">
        <f>给排水!F68</f>
        <v>1100</v>
      </c>
      <c r="J125" s="132"/>
      <c r="K125" s="114" t="str">
        <f>给排水!H68</f>
        <v>参16S518-P43</v>
      </c>
    </row>
    <row r="126" s="98" customFormat="1" ht="33" customHeight="1" spans="1:11">
      <c r="A126" s="113" t="s">
        <v>151</v>
      </c>
      <c r="B126" s="116" t="str">
        <f>给排水!C69</f>
        <v>挖方</v>
      </c>
      <c r="C126" s="108">
        <f t="shared" si="17"/>
        <v>456.96</v>
      </c>
      <c r="D126" s="108"/>
      <c r="E126" s="108"/>
      <c r="F126" s="108">
        <f t="shared" si="18"/>
        <v>456.96</v>
      </c>
      <c r="G126" s="108" t="str">
        <f>给排水!E69</f>
        <v>m3</v>
      </c>
      <c r="H126" s="108">
        <f>给排水!D69</f>
        <v>52960</v>
      </c>
      <c r="I126" s="115">
        <f>给排水!F69</f>
        <v>86.2839879154078</v>
      </c>
      <c r="J126" s="132"/>
      <c r="K126" s="114" t="str">
        <f>给排水!H69</f>
        <v>注：表中土石方量仅供参考，以现场实际开挖量为准。</v>
      </c>
    </row>
    <row r="127" s="98" customFormat="1" ht="33" customHeight="1" spans="1:11">
      <c r="A127" s="113" t="s">
        <v>152</v>
      </c>
      <c r="B127" s="116" t="str">
        <f>给排水!C70</f>
        <v>填方</v>
      </c>
      <c r="C127" s="108">
        <f t="shared" si="17"/>
        <v>100.8</v>
      </c>
      <c r="D127" s="108"/>
      <c r="E127" s="108"/>
      <c r="F127" s="108">
        <f t="shared" si="18"/>
        <v>100.8</v>
      </c>
      <c r="G127" s="108" t="str">
        <f>给排水!E70</f>
        <v>m3</v>
      </c>
      <c r="H127" s="108">
        <f>给排水!D70</f>
        <v>50400</v>
      </c>
      <c r="I127" s="115">
        <f>给排水!F70</f>
        <v>20</v>
      </c>
      <c r="J127" s="132"/>
      <c r="K127" s="114" t="str">
        <f>给排水!H70</f>
        <v>注：表中土石方量仅供参考，以现场实际开挖量为准。</v>
      </c>
    </row>
    <row r="128" s="98" customFormat="1" ht="53" customHeight="1" spans="1:11">
      <c r="A128" s="112">
        <v>2.2</v>
      </c>
      <c r="B128" s="110" t="s">
        <v>56</v>
      </c>
      <c r="C128" s="111">
        <f>SUM(C129:C135)</f>
        <v>483.032</v>
      </c>
      <c r="D128" s="111"/>
      <c r="E128" s="111"/>
      <c r="F128" s="111">
        <f t="shared" si="18"/>
        <v>483.032</v>
      </c>
      <c r="G128" s="111" t="s">
        <v>49</v>
      </c>
      <c r="H128" s="111">
        <f>SUM(H129:H132)</f>
        <v>2470</v>
      </c>
      <c r="I128" s="128">
        <f>F128/H128*10000</f>
        <v>1955.59514170041</v>
      </c>
      <c r="J128" s="134"/>
      <c r="K128" s="133"/>
    </row>
    <row r="129" s="97" customFormat="1" ht="28" customHeight="1" spans="1:11">
      <c r="A129" s="113" t="s">
        <v>136</v>
      </c>
      <c r="B129" s="116" t="str">
        <f>给排水!C71</f>
        <v>新型钢带增强聚乙烯螺旋波纹管d400</v>
      </c>
      <c r="C129" s="108">
        <f t="shared" ref="C129:C135" si="19">H129*I129/10000</f>
        <v>6.4</v>
      </c>
      <c r="D129" s="108"/>
      <c r="E129" s="108"/>
      <c r="F129" s="108">
        <f t="shared" si="18"/>
        <v>6.4</v>
      </c>
      <c r="G129" s="108" t="str">
        <f>给排水!E71</f>
        <v>m</v>
      </c>
      <c r="H129" s="108">
        <f>给排水!D71</f>
        <v>320</v>
      </c>
      <c r="I129" s="115">
        <f>给排水!F71</f>
        <v>200</v>
      </c>
      <c r="J129" s="131"/>
      <c r="K129" s="114" t="str">
        <f>给排水!H71</f>
        <v>环刚度≥8KN/m2</v>
      </c>
    </row>
    <row r="130" s="98" customFormat="1" ht="36" customHeight="1" spans="1:11">
      <c r="A130" s="113" t="s">
        <v>137</v>
      </c>
      <c r="B130" s="116" t="str">
        <f>给排水!C72</f>
        <v>新型钢带增强聚乙烯螺旋波纹管d500</v>
      </c>
      <c r="C130" s="108">
        <f t="shared" si="19"/>
        <v>2.88</v>
      </c>
      <c r="D130" s="108"/>
      <c r="E130" s="108"/>
      <c r="F130" s="108">
        <f t="shared" si="18"/>
        <v>2.88</v>
      </c>
      <c r="G130" s="108" t="str">
        <f>给排水!E72</f>
        <v>m</v>
      </c>
      <c r="H130" s="108">
        <f>给排水!D72</f>
        <v>120</v>
      </c>
      <c r="I130" s="115">
        <f>给排水!F72</f>
        <v>240</v>
      </c>
      <c r="J130" s="134"/>
      <c r="K130" s="114" t="str">
        <f>给排水!H72</f>
        <v>环刚度≥8KN/m2</v>
      </c>
    </row>
    <row r="131" s="98" customFormat="1" ht="32" customHeight="1" spans="1:11">
      <c r="A131" s="113" t="s">
        <v>138</v>
      </c>
      <c r="B131" s="116" t="str">
        <f>给排水!C73</f>
        <v>II级钢筋混凝土管d600</v>
      </c>
      <c r="C131" s="108">
        <f t="shared" si="19"/>
        <v>78.82</v>
      </c>
      <c r="D131" s="108"/>
      <c r="E131" s="108"/>
      <c r="F131" s="108">
        <f t="shared" si="18"/>
        <v>78.82</v>
      </c>
      <c r="G131" s="108" t="str">
        <f>给排水!E73</f>
        <v>m</v>
      </c>
      <c r="H131" s="108">
        <f>给排水!D73</f>
        <v>1400</v>
      </c>
      <c r="I131" s="115">
        <f>给排水!F73</f>
        <v>563</v>
      </c>
      <c r="J131" s="134"/>
      <c r="K131" s="114"/>
    </row>
    <row r="132" s="98" customFormat="1" ht="29" customHeight="1" spans="1:11">
      <c r="A132" s="113" t="s">
        <v>139</v>
      </c>
      <c r="B132" s="116" t="str">
        <f>给排水!C74</f>
        <v>II级钢筋混凝土管d800</v>
      </c>
      <c r="C132" s="108">
        <f t="shared" si="19"/>
        <v>48.132</v>
      </c>
      <c r="D132" s="108"/>
      <c r="E132" s="108"/>
      <c r="F132" s="108">
        <f t="shared" si="18"/>
        <v>48.132</v>
      </c>
      <c r="G132" s="108" t="str">
        <f>给排水!E74</f>
        <v>m</v>
      </c>
      <c r="H132" s="108">
        <f>给排水!D74</f>
        <v>630</v>
      </c>
      <c r="I132" s="115">
        <f>给排水!F74</f>
        <v>764</v>
      </c>
      <c r="J132" s="134"/>
      <c r="K132" s="114"/>
    </row>
    <row r="133" s="98" customFormat="1" ht="25" customHeight="1" spans="1:11">
      <c r="A133" s="113" t="s">
        <v>140</v>
      </c>
      <c r="B133" s="116" t="str">
        <f>给排水!C75</f>
        <v>污水检查井</v>
      </c>
      <c r="C133" s="108">
        <f t="shared" si="19"/>
        <v>56</v>
      </c>
      <c r="D133" s="108"/>
      <c r="E133" s="108"/>
      <c r="F133" s="108">
        <f t="shared" si="18"/>
        <v>56</v>
      </c>
      <c r="G133" s="108" t="str">
        <f>给排水!E75</f>
        <v>座</v>
      </c>
      <c r="H133" s="108">
        <f>给排水!D75</f>
        <v>56</v>
      </c>
      <c r="I133" s="115">
        <f>给排水!F75</f>
        <v>10000</v>
      </c>
      <c r="J133" s="134"/>
      <c r="K133" s="114" t="str">
        <f>给排水!H75</f>
        <v>钢筋混凝土检查井，详见图集04S531-5</v>
      </c>
    </row>
    <row r="134" s="98" customFormat="1" ht="29" customHeight="1" spans="1:11">
      <c r="A134" s="113" t="s">
        <v>153</v>
      </c>
      <c r="B134" s="116" t="str">
        <f>给排水!C76</f>
        <v>挖方</v>
      </c>
      <c r="C134" s="108">
        <f t="shared" si="19"/>
        <v>240.2</v>
      </c>
      <c r="D134" s="111"/>
      <c r="E134" s="111"/>
      <c r="F134" s="108">
        <f t="shared" si="18"/>
        <v>240.2</v>
      </c>
      <c r="G134" s="108" t="str">
        <f>给排水!E76</f>
        <v>m3</v>
      </c>
      <c r="H134" s="108">
        <f>给排水!D76</f>
        <v>27100</v>
      </c>
      <c r="I134" s="115">
        <f>给排水!F76</f>
        <v>88.6346863468635</v>
      </c>
      <c r="J134" s="134"/>
      <c r="K134" s="114" t="str">
        <f>给排水!H76</f>
        <v>注：表中土石方量仅供参考，以现场实际开挖量为准。</v>
      </c>
    </row>
    <row r="135" s="98" customFormat="1" ht="28" customHeight="1" spans="1:11">
      <c r="A135" s="113" t="s">
        <v>154</v>
      </c>
      <c r="B135" s="116" t="str">
        <f>给排水!C77</f>
        <v>填方</v>
      </c>
      <c r="C135" s="108">
        <f t="shared" si="19"/>
        <v>50.6</v>
      </c>
      <c r="D135" s="111"/>
      <c r="E135" s="111"/>
      <c r="F135" s="108">
        <f t="shared" si="18"/>
        <v>50.6</v>
      </c>
      <c r="G135" s="108" t="str">
        <f>给排水!E77</f>
        <v>m3</v>
      </c>
      <c r="H135" s="108">
        <f>给排水!D77</f>
        <v>25300</v>
      </c>
      <c r="I135" s="115">
        <f>给排水!F77</f>
        <v>20</v>
      </c>
      <c r="J135" s="134"/>
      <c r="K135" s="114" t="str">
        <f>给排水!H77</f>
        <v>注：表中土石方量仅供参考，以现场实际开挖量为准。</v>
      </c>
    </row>
    <row r="136" s="98" customFormat="1" ht="36" customHeight="1" spans="1:11">
      <c r="A136" s="112">
        <v>2.3</v>
      </c>
      <c r="B136" s="110" t="s">
        <v>57</v>
      </c>
      <c r="C136" s="111">
        <f>SUM(C137:C139)</f>
        <v>27.5</v>
      </c>
      <c r="D136" s="111"/>
      <c r="E136" s="111"/>
      <c r="F136" s="111">
        <f t="shared" si="18"/>
        <v>27.5</v>
      </c>
      <c r="G136" s="111" t="s">
        <v>49</v>
      </c>
      <c r="H136" s="111">
        <v>1</v>
      </c>
      <c r="I136" s="128">
        <f>C136/H136*10000</f>
        <v>275000</v>
      </c>
      <c r="J136" s="134"/>
      <c r="K136" s="133"/>
    </row>
    <row r="137" s="98" customFormat="1" ht="36" customHeight="1" spans="1:11">
      <c r="A137" s="113" t="s">
        <v>141</v>
      </c>
      <c r="B137" s="116" t="str">
        <f>给排水!C78</f>
        <v>管道疏浚</v>
      </c>
      <c r="C137" s="108">
        <f t="shared" ref="C137:C140" si="20">H137*I137/10000</f>
        <v>0</v>
      </c>
      <c r="D137" s="108"/>
      <c r="E137" s="108"/>
      <c r="F137" s="108">
        <f t="shared" si="18"/>
        <v>0</v>
      </c>
      <c r="G137" s="108" t="str">
        <f>给排水!E78</f>
        <v>m</v>
      </c>
      <c r="H137" s="108">
        <f>给排水!D78</f>
        <v>0</v>
      </c>
      <c r="I137" s="115">
        <f>给排水!F78</f>
        <v>200</v>
      </c>
      <c r="J137" s="134"/>
      <c r="K137" s="114" t="str">
        <f>给排水!H108</f>
        <v>参16S518-P43</v>
      </c>
    </row>
    <row r="138" s="98" customFormat="1" ht="36" customHeight="1" spans="1:11">
      <c r="A138" s="113" t="s">
        <v>142</v>
      </c>
      <c r="B138" s="116" t="str">
        <f>给排水!C79</f>
        <v>废除封堵</v>
      </c>
      <c r="C138" s="108">
        <f t="shared" si="20"/>
        <v>12.5</v>
      </c>
      <c r="D138" s="108"/>
      <c r="E138" s="108"/>
      <c r="F138" s="108">
        <f t="shared" si="18"/>
        <v>12.5</v>
      </c>
      <c r="G138" s="108" t="str">
        <f>给排水!E79</f>
        <v>处</v>
      </c>
      <c r="H138" s="108">
        <f>给排水!D79</f>
        <v>25</v>
      </c>
      <c r="I138" s="115">
        <f>给排水!F79</f>
        <v>5000</v>
      </c>
      <c r="J138" s="134"/>
      <c r="K138" s="133"/>
    </row>
    <row r="139" s="98" customFormat="1" ht="36" customHeight="1" spans="1:11">
      <c r="A139" s="113" t="s">
        <v>143</v>
      </c>
      <c r="B139" s="116" t="str">
        <f>给排水!C80</f>
        <v>管线迁改</v>
      </c>
      <c r="C139" s="108">
        <f t="shared" si="20"/>
        <v>15</v>
      </c>
      <c r="D139" s="108"/>
      <c r="E139" s="108"/>
      <c r="F139" s="108">
        <f t="shared" si="18"/>
        <v>15</v>
      </c>
      <c r="G139" s="108" t="str">
        <f>给排水!E80</f>
        <v>项</v>
      </c>
      <c r="H139" s="108">
        <f>给排水!D80</f>
        <v>1</v>
      </c>
      <c r="I139" s="115">
        <f>给排水!F80</f>
        <v>150000</v>
      </c>
      <c r="J139" s="134"/>
      <c r="K139" s="133"/>
    </row>
    <row r="140" s="98" customFormat="1" ht="26" customHeight="1" spans="1:11">
      <c r="A140" s="112">
        <v>3</v>
      </c>
      <c r="B140" s="110" t="s">
        <v>58</v>
      </c>
      <c r="C140" s="111">
        <f t="shared" si="20"/>
        <v>167.979552049337</v>
      </c>
      <c r="D140" s="111"/>
      <c r="E140" s="111"/>
      <c r="F140" s="111">
        <f t="shared" si="18"/>
        <v>167.979552049337</v>
      </c>
      <c r="G140" s="111" t="s">
        <v>59</v>
      </c>
      <c r="H140" s="111">
        <v>1</v>
      </c>
      <c r="I140" s="128">
        <f>P12</f>
        <v>1679795.52049337</v>
      </c>
      <c r="J140" s="132"/>
      <c r="K140" s="133"/>
    </row>
    <row r="141" s="97" customFormat="1" ht="18" customHeight="1" spans="1:11">
      <c r="A141" s="109" t="s">
        <v>66</v>
      </c>
      <c r="B141" s="110" t="s">
        <v>12</v>
      </c>
      <c r="C141" s="111">
        <f>C142+C152+C172</f>
        <v>1572.05310163095</v>
      </c>
      <c r="D141" s="111"/>
      <c r="E141" s="111"/>
      <c r="F141" s="111">
        <f t="shared" si="18"/>
        <v>1572.05310163095</v>
      </c>
      <c r="G141" s="111" t="s">
        <v>49</v>
      </c>
      <c r="H141" s="111">
        <f>H152</f>
        <v>3080</v>
      </c>
      <c r="I141" s="111">
        <f>F141/H141*10000</f>
        <v>5104.06851178879</v>
      </c>
      <c r="J141" s="126"/>
      <c r="K141" s="123"/>
    </row>
    <row r="142" s="97" customFormat="1" spans="1:11">
      <c r="A142" s="112">
        <v>1</v>
      </c>
      <c r="B142" s="110" t="s">
        <v>51</v>
      </c>
      <c r="C142" s="111">
        <f>SUM(C143:C151)</f>
        <v>854.951388461539</v>
      </c>
      <c r="D142" s="111"/>
      <c r="E142" s="111"/>
      <c r="F142" s="111">
        <f t="shared" si="18"/>
        <v>854.951388461539</v>
      </c>
      <c r="G142" s="111" t="s">
        <v>52</v>
      </c>
      <c r="H142" s="111">
        <f>H144+H145+H147</f>
        <v>16095.2</v>
      </c>
      <c r="I142" s="128">
        <f>F142/H142*10000</f>
        <v>531.184072556749</v>
      </c>
      <c r="J142" s="126"/>
      <c r="K142" s="123"/>
    </row>
    <row r="143" s="97" customFormat="1" ht="48" customHeight="1" spans="1:11">
      <c r="A143" s="113">
        <v>1.1</v>
      </c>
      <c r="B143" s="116" t="str">
        <f>道路!B54</f>
        <v>路面破除</v>
      </c>
      <c r="C143" s="108">
        <f t="shared" ref="C143:C151" si="21">I143*H143/10000</f>
        <v>58.1320384615385</v>
      </c>
      <c r="D143" s="108"/>
      <c r="E143" s="108"/>
      <c r="F143" s="108">
        <f t="shared" si="18"/>
        <v>58.1320384615385</v>
      </c>
      <c r="G143" s="108" t="str">
        <f>道路!C54</f>
        <v>m2</v>
      </c>
      <c r="H143" s="6">
        <f>道路!D54</f>
        <v>11995.5</v>
      </c>
      <c r="I143" s="129">
        <f>道路!E54</f>
        <v>48.4615384615385</v>
      </c>
      <c r="J143" s="126"/>
      <c r="K143" s="114" t="str">
        <f>道路!G54</f>
        <v>厚度按0.63m</v>
      </c>
    </row>
    <row r="144" s="97" customFormat="1" ht="84" spans="1:11">
      <c r="A144" s="113">
        <v>1.2</v>
      </c>
      <c r="B144" s="116" t="str">
        <f>道路!B55</f>
        <v>路面恢复(破除宽大于3m)</v>
      </c>
      <c r="C144" s="108">
        <f t="shared" si="21"/>
        <v>501.4119</v>
      </c>
      <c r="D144" s="108"/>
      <c r="E144" s="108"/>
      <c r="F144" s="108">
        <f t="shared" si="18"/>
        <v>501.4119</v>
      </c>
      <c r="G144" s="108" t="str">
        <f>道路!C55</f>
        <v>m2</v>
      </c>
      <c r="H144" s="6">
        <f>道路!D55</f>
        <v>11995.5</v>
      </c>
      <c r="I144" s="129">
        <f>道路!E55</f>
        <v>418</v>
      </c>
      <c r="J144" s="131"/>
      <c r="K144" s="114" t="str">
        <f>道路!G55</f>
        <v>4cm 细粒式沥青砼(AC-13C，4%SBS 改性)+改性乳化沥青粘层油0.3~0.6L/m2+5cm沥青混凝土AC-20C下面层+18cm水泥稳定碎石(5%)+18cm水泥稳定碎石(4%)+18cm水泥石灰综合稳定土(2:10:88，厂拌)</v>
      </c>
    </row>
    <row r="145" s="97" customFormat="1" ht="19" customHeight="1" spans="1:11">
      <c r="A145" s="113">
        <v>1.3</v>
      </c>
      <c r="B145" s="116" t="str">
        <f>道路!B56</f>
        <v>机制C30砼路缘石15x40x100cm</v>
      </c>
      <c r="C145" s="108">
        <f t="shared" si="21"/>
        <v>15.55125</v>
      </c>
      <c r="D145" s="108"/>
      <c r="E145" s="108"/>
      <c r="F145" s="108">
        <f t="shared" si="18"/>
        <v>15.55125</v>
      </c>
      <c r="G145" s="108" t="str">
        <f>道路!C56</f>
        <v>m</v>
      </c>
      <c r="H145" s="6">
        <f>道路!D56</f>
        <v>2073.5</v>
      </c>
      <c r="I145" s="129">
        <f>道路!E56</f>
        <v>75</v>
      </c>
      <c r="J145" s="131"/>
      <c r="K145" s="114"/>
    </row>
    <row r="146" s="97" customFormat="1" ht="36" customHeight="1" spans="1:11">
      <c r="A146" s="113">
        <v>1.4</v>
      </c>
      <c r="B146" s="116" t="str">
        <f>道路!B57</f>
        <v>人行道破除</v>
      </c>
      <c r="C146" s="108">
        <f t="shared" si="21"/>
        <v>6.0786</v>
      </c>
      <c r="D146" s="108"/>
      <c r="E146" s="108"/>
      <c r="F146" s="108">
        <f t="shared" si="18"/>
        <v>6.0786</v>
      </c>
      <c r="G146" s="108" t="str">
        <f>道路!C57</f>
        <v>m2</v>
      </c>
      <c r="H146" s="6">
        <f>道路!D57</f>
        <v>2026.2</v>
      </c>
      <c r="I146" s="129">
        <f>道路!E57</f>
        <v>30</v>
      </c>
      <c r="J146" s="131"/>
      <c r="K146" s="114" t="str">
        <f>道路!G57</f>
        <v>土石比暂按2/8计　</v>
      </c>
    </row>
    <row r="147" s="97" customFormat="1" ht="56" customHeight="1" spans="1:11">
      <c r="A147" s="113">
        <v>1.5</v>
      </c>
      <c r="B147" s="116" t="str">
        <f>道路!B58</f>
        <v>人行道恢复</v>
      </c>
      <c r="C147" s="108">
        <f t="shared" si="21"/>
        <v>33.4323</v>
      </c>
      <c r="D147" s="108"/>
      <c r="E147" s="108"/>
      <c r="F147" s="108">
        <f t="shared" si="18"/>
        <v>33.4323</v>
      </c>
      <c r="G147" s="108" t="str">
        <f>道路!C58</f>
        <v>m2</v>
      </c>
      <c r="H147" s="6">
        <f>道路!D58</f>
        <v>2026.2</v>
      </c>
      <c r="I147" s="129">
        <f>道路!E58</f>
        <v>165</v>
      </c>
      <c r="J147" s="131"/>
      <c r="K147" s="114" t="str">
        <f>道路!G58</f>
        <v>6cm 厚砂基透水砖+3cm 厚 M10 干硬性水泥砂浆+15cm厚C20透水混凝土+15cm 厚级配碎石</v>
      </c>
    </row>
    <row r="148" s="97" customFormat="1" spans="1:11">
      <c r="A148" s="113">
        <v>1.6</v>
      </c>
      <c r="B148" s="116" t="str">
        <f>道路!B59</f>
        <v>侧分带破除</v>
      </c>
      <c r="C148" s="108">
        <f t="shared" si="21"/>
        <v>15.1668</v>
      </c>
      <c r="D148" s="108"/>
      <c r="E148" s="108"/>
      <c r="F148" s="108">
        <f t="shared" si="18"/>
        <v>15.1668</v>
      </c>
      <c r="G148" s="108" t="str">
        <f>道路!C59</f>
        <v>m2</v>
      </c>
      <c r="H148" s="6">
        <f>道路!D59</f>
        <v>5055.6</v>
      </c>
      <c r="I148" s="129">
        <f>道路!E59</f>
        <v>30</v>
      </c>
      <c r="J148" s="131"/>
      <c r="K148" s="114"/>
    </row>
    <row r="149" s="97" customFormat="1" ht="25" customHeight="1" spans="1:11">
      <c r="A149" s="113">
        <v>1.7</v>
      </c>
      <c r="B149" s="116" t="str">
        <f>道路!B60</f>
        <v>侧分带恢复</v>
      </c>
      <c r="C149" s="108">
        <f t="shared" si="21"/>
        <v>126.39</v>
      </c>
      <c r="D149" s="108"/>
      <c r="E149" s="108"/>
      <c r="F149" s="108">
        <f t="shared" si="18"/>
        <v>126.39</v>
      </c>
      <c r="G149" s="108" t="str">
        <f>道路!C60</f>
        <v>m2</v>
      </c>
      <c r="H149" s="6">
        <f>道路!D60</f>
        <v>5055.6</v>
      </c>
      <c r="I149" s="129">
        <f>道路!E60</f>
        <v>250</v>
      </c>
      <c r="J149" s="131"/>
      <c r="K149" s="114"/>
    </row>
    <row r="150" s="97" customFormat="1" spans="1:11">
      <c r="A150" s="113">
        <v>1.8</v>
      </c>
      <c r="B150" s="116" t="str">
        <f>道路!B61</f>
        <v>标线恢复</v>
      </c>
      <c r="C150" s="108">
        <f t="shared" si="21"/>
        <v>1.27575</v>
      </c>
      <c r="D150" s="108"/>
      <c r="E150" s="108"/>
      <c r="F150" s="108">
        <f t="shared" si="18"/>
        <v>1.27575</v>
      </c>
      <c r="G150" s="108" t="str">
        <f>道路!C61</f>
        <v>m2</v>
      </c>
      <c r="H150" s="6">
        <f>道路!D61</f>
        <v>425.25</v>
      </c>
      <c r="I150" s="129">
        <f>道路!E61</f>
        <v>30</v>
      </c>
      <c r="J150" s="131"/>
      <c r="K150" s="114"/>
    </row>
    <row r="151" s="97" customFormat="1" spans="1:11">
      <c r="A151" s="113">
        <v>1.9</v>
      </c>
      <c r="B151" s="116" t="str">
        <f>道路!B62</f>
        <v>施工措施项目费</v>
      </c>
      <c r="C151" s="108">
        <f t="shared" si="21"/>
        <v>97.51275</v>
      </c>
      <c r="D151" s="108"/>
      <c r="E151" s="108"/>
      <c r="F151" s="108">
        <f t="shared" si="18"/>
        <v>97.51275</v>
      </c>
      <c r="G151" s="108" t="str">
        <f>道路!C62</f>
        <v>m2</v>
      </c>
      <c r="H151" s="6">
        <f>道路!D62</f>
        <v>19502.55</v>
      </c>
      <c r="I151" s="129">
        <f>道路!E62</f>
        <v>50</v>
      </c>
      <c r="J151" s="131"/>
      <c r="K151" s="6"/>
    </row>
    <row r="152" s="98" customFormat="1" ht="21" customHeight="1" spans="1:11">
      <c r="A152" s="112">
        <v>2</v>
      </c>
      <c r="B152" s="110" t="s">
        <v>53</v>
      </c>
      <c r="C152" s="111">
        <f>C153+C162+C168</f>
        <v>646.7845</v>
      </c>
      <c r="D152" s="111"/>
      <c r="E152" s="111"/>
      <c r="F152" s="111">
        <f t="shared" si="18"/>
        <v>646.7845</v>
      </c>
      <c r="G152" s="111" t="s">
        <v>49</v>
      </c>
      <c r="H152" s="111">
        <f>H153+H162+H168</f>
        <v>3080</v>
      </c>
      <c r="I152" s="128">
        <f>F152/H152*10000</f>
        <v>2099.94967532468</v>
      </c>
      <c r="J152" s="132"/>
      <c r="K152" s="133"/>
    </row>
    <row r="153" s="98" customFormat="1" ht="33" customHeight="1" spans="1:11">
      <c r="A153" s="112">
        <v>2.1</v>
      </c>
      <c r="B153" s="110" t="s">
        <v>55</v>
      </c>
      <c r="C153" s="111">
        <f>SUM(C154:C161)</f>
        <v>300.2045</v>
      </c>
      <c r="D153" s="111"/>
      <c r="E153" s="111"/>
      <c r="F153" s="111">
        <f t="shared" si="18"/>
        <v>300.2045</v>
      </c>
      <c r="G153" s="111" t="s">
        <v>49</v>
      </c>
      <c r="H153" s="111">
        <f>SUM(H154:H157)</f>
        <v>1210</v>
      </c>
      <c r="I153" s="128">
        <f>F153/H153*10000</f>
        <v>2481.02892561983</v>
      </c>
      <c r="J153" s="132"/>
      <c r="K153" s="133"/>
    </row>
    <row r="154" s="98" customFormat="1" ht="36" customHeight="1" spans="1:11">
      <c r="A154" s="113" t="s">
        <v>127</v>
      </c>
      <c r="B154" s="116" t="str">
        <f>给排水!C83</f>
        <v>II级钢筋混凝土管d300</v>
      </c>
      <c r="C154" s="108">
        <f t="shared" ref="C154:C161" si="22">H154*I154/10000</f>
        <v>7.84</v>
      </c>
      <c r="D154" s="108"/>
      <c r="E154" s="108"/>
      <c r="F154" s="108">
        <f t="shared" si="18"/>
        <v>7.84</v>
      </c>
      <c r="G154" s="108" t="str">
        <f>给排水!E83</f>
        <v>m</v>
      </c>
      <c r="H154" s="108">
        <f>给排水!D83</f>
        <v>560</v>
      </c>
      <c r="I154" s="115">
        <f>给排水!F83</f>
        <v>140</v>
      </c>
      <c r="J154" s="132"/>
      <c r="K154" s="114" t="str">
        <f>给排水!H83</f>
        <v>雨水口连接管</v>
      </c>
    </row>
    <row r="155" s="98" customFormat="1" ht="36" customHeight="1" spans="1:11">
      <c r="A155" s="113" t="s">
        <v>128</v>
      </c>
      <c r="B155" s="116" t="str">
        <f>给排水!C84</f>
        <v>II级钢筋混凝土管d600</v>
      </c>
      <c r="C155" s="108">
        <f t="shared" si="22"/>
        <v>3.6595</v>
      </c>
      <c r="D155" s="108"/>
      <c r="E155" s="108"/>
      <c r="F155" s="108">
        <f t="shared" si="18"/>
        <v>3.6595</v>
      </c>
      <c r="G155" s="108" t="str">
        <f>给排水!E84</f>
        <v>m</v>
      </c>
      <c r="H155" s="108">
        <f>给排水!D84</f>
        <v>65</v>
      </c>
      <c r="I155" s="115">
        <f>给排水!F84</f>
        <v>563</v>
      </c>
      <c r="J155" s="132"/>
      <c r="K155" s="114" t="str">
        <f>给排水!H84</f>
        <v>地块预留支管</v>
      </c>
    </row>
    <row r="156" s="98" customFormat="1" ht="36" customHeight="1" spans="1:11">
      <c r="A156" s="113" t="s">
        <v>129</v>
      </c>
      <c r="B156" s="116" t="str">
        <f>给排水!C85</f>
        <v>II级钢筋混凝土管d1000</v>
      </c>
      <c r="C156" s="108">
        <f t="shared" si="22"/>
        <v>3.43</v>
      </c>
      <c r="D156" s="108"/>
      <c r="E156" s="108"/>
      <c r="F156" s="108">
        <f t="shared" si="18"/>
        <v>3.43</v>
      </c>
      <c r="G156" s="108" t="str">
        <f>给排水!E85</f>
        <v>m</v>
      </c>
      <c r="H156" s="108">
        <f>给排水!D85</f>
        <v>35</v>
      </c>
      <c r="I156" s="115">
        <f>给排水!F85</f>
        <v>980</v>
      </c>
      <c r="J156" s="132"/>
      <c r="K156" s="114"/>
    </row>
    <row r="157" s="98" customFormat="1" ht="36" customHeight="1" spans="1:11">
      <c r="A157" s="113" t="s">
        <v>130</v>
      </c>
      <c r="B157" s="116" t="str">
        <f>给排水!C86</f>
        <v>II级钢筋混凝土管d1500</v>
      </c>
      <c r="C157" s="108">
        <f t="shared" si="22"/>
        <v>106.975</v>
      </c>
      <c r="D157" s="108"/>
      <c r="E157" s="108"/>
      <c r="F157" s="108">
        <f t="shared" si="18"/>
        <v>106.975</v>
      </c>
      <c r="G157" s="108" t="str">
        <f>给排水!E86</f>
        <v>m</v>
      </c>
      <c r="H157" s="108">
        <f>给排水!D86</f>
        <v>550</v>
      </c>
      <c r="I157" s="115">
        <f>给排水!F86</f>
        <v>1945</v>
      </c>
      <c r="J157" s="132"/>
      <c r="K157" s="114"/>
    </row>
    <row r="158" s="98" customFormat="1" ht="36" customHeight="1" spans="1:11">
      <c r="A158" s="113" t="s">
        <v>131</v>
      </c>
      <c r="B158" s="116" t="str">
        <f>给排水!C87</f>
        <v>雨水检查井</v>
      </c>
      <c r="C158" s="108">
        <f t="shared" si="22"/>
        <v>20</v>
      </c>
      <c r="D158" s="108"/>
      <c r="E158" s="108"/>
      <c r="F158" s="108">
        <f t="shared" si="18"/>
        <v>20</v>
      </c>
      <c r="G158" s="108" t="str">
        <f>给排水!E87</f>
        <v>座</v>
      </c>
      <c r="H158" s="108">
        <f>给排水!D87</f>
        <v>25</v>
      </c>
      <c r="I158" s="115">
        <f>给排水!F87</f>
        <v>8000</v>
      </c>
      <c r="J158" s="132"/>
      <c r="K158" s="114" t="str">
        <f>给排水!H87</f>
        <v>钢筋混凝土检查井，详见图集04S531-5</v>
      </c>
    </row>
    <row r="159" s="98" customFormat="1" ht="36" customHeight="1" spans="1:11">
      <c r="A159" s="113" t="s">
        <v>132</v>
      </c>
      <c r="B159" s="116" t="str">
        <f>给排水!C88</f>
        <v>双箅雨水口</v>
      </c>
      <c r="C159" s="108">
        <f t="shared" si="22"/>
        <v>5.5</v>
      </c>
      <c r="D159" s="108"/>
      <c r="E159" s="108"/>
      <c r="F159" s="108">
        <f t="shared" si="18"/>
        <v>5.5</v>
      </c>
      <c r="G159" s="108" t="str">
        <f>给排水!E88</f>
        <v>座</v>
      </c>
      <c r="H159" s="108">
        <f>给排水!D88</f>
        <v>50</v>
      </c>
      <c r="I159" s="115">
        <f>给排水!F88</f>
        <v>1100</v>
      </c>
      <c r="J159" s="132"/>
      <c r="K159" s="114" t="str">
        <f>给排水!H88</f>
        <v>参16S518-P43</v>
      </c>
    </row>
    <row r="160" s="98" customFormat="1" ht="33" customHeight="1" spans="1:11">
      <c r="A160" s="113" t="s">
        <v>133</v>
      </c>
      <c r="B160" s="116" t="str">
        <f>给排水!C89</f>
        <v>挖方</v>
      </c>
      <c r="C160" s="108">
        <f t="shared" si="22"/>
        <v>125.6</v>
      </c>
      <c r="D160" s="108"/>
      <c r="E160" s="108"/>
      <c r="F160" s="108">
        <f t="shared" si="18"/>
        <v>125.6</v>
      </c>
      <c r="G160" s="108" t="str">
        <f>给排水!E89</f>
        <v>m3</v>
      </c>
      <c r="H160" s="108">
        <f>给排水!D89</f>
        <v>14400</v>
      </c>
      <c r="I160" s="115">
        <f>给排水!F89</f>
        <v>87.2222222222222</v>
      </c>
      <c r="J160" s="132"/>
      <c r="K160" s="114" t="str">
        <f>给排水!H89</f>
        <v>注：表中土石方量仅供参考，以现场实际开挖量为准。</v>
      </c>
    </row>
    <row r="161" s="98" customFormat="1" ht="33" customHeight="1" spans="1:11">
      <c r="A161" s="113" t="s">
        <v>134</v>
      </c>
      <c r="B161" s="116" t="str">
        <f>给排水!C90</f>
        <v>填方</v>
      </c>
      <c r="C161" s="108">
        <f t="shared" si="22"/>
        <v>27.2</v>
      </c>
      <c r="D161" s="108"/>
      <c r="E161" s="108"/>
      <c r="F161" s="108">
        <f t="shared" si="18"/>
        <v>27.2</v>
      </c>
      <c r="G161" s="108" t="str">
        <f>给排水!E90</f>
        <v>m3</v>
      </c>
      <c r="H161" s="108">
        <f>给排水!D90</f>
        <v>13600</v>
      </c>
      <c r="I161" s="115">
        <f>给排水!F90</f>
        <v>20</v>
      </c>
      <c r="J161" s="132"/>
      <c r="K161" s="114" t="str">
        <f>给排水!H90</f>
        <v>注：表中土石方量仅供参考，以现场实际开挖量为准。</v>
      </c>
    </row>
    <row r="162" s="98" customFormat="1" ht="53" customHeight="1" spans="1:11">
      <c r="A162" s="112">
        <v>2.2</v>
      </c>
      <c r="B162" s="110" t="s">
        <v>56</v>
      </c>
      <c r="C162" s="111">
        <f>SUM(C163:C167)</f>
        <v>316.58</v>
      </c>
      <c r="D162" s="111"/>
      <c r="E162" s="111"/>
      <c r="F162" s="111">
        <f t="shared" si="18"/>
        <v>316.58</v>
      </c>
      <c r="G162" s="111" t="s">
        <v>49</v>
      </c>
      <c r="H162" s="111">
        <f>SUM(H163:H164)</f>
        <v>1670</v>
      </c>
      <c r="I162" s="111">
        <f>F162/H162*10000</f>
        <v>1895.68862275449</v>
      </c>
      <c r="J162" s="134"/>
      <c r="K162" s="133"/>
    </row>
    <row r="163" s="97" customFormat="1" ht="28" customHeight="1" spans="1:11">
      <c r="A163" s="113" t="s">
        <v>136</v>
      </c>
      <c r="B163" s="116" t="str">
        <f>给排水!C91</f>
        <v>新型钢带增强聚乙烯螺旋波纹管d400</v>
      </c>
      <c r="C163" s="108">
        <f t="shared" ref="C163:C167" si="23">H163*I163/10000</f>
        <v>15</v>
      </c>
      <c r="D163" s="108"/>
      <c r="E163" s="108"/>
      <c r="F163" s="108">
        <f t="shared" si="18"/>
        <v>15</v>
      </c>
      <c r="G163" s="108" t="str">
        <f>给排水!E91</f>
        <v>m</v>
      </c>
      <c r="H163" s="108">
        <f>给排水!D91</f>
        <v>750</v>
      </c>
      <c r="I163" s="115">
        <f>给排水!F91</f>
        <v>200</v>
      </c>
      <c r="J163" s="131"/>
      <c r="K163" s="114" t="str">
        <f>给排水!H91</f>
        <v>环刚度≥8KN/m2</v>
      </c>
    </row>
    <row r="164" s="98" customFormat="1" ht="36" customHeight="1" spans="1:11">
      <c r="A164" s="113" t="s">
        <v>137</v>
      </c>
      <c r="B164" s="116" t="str">
        <f>给排水!C92</f>
        <v>新型钢带增强聚乙烯螺旋波纹管d500</v>
      </c>
      <c r="C164" s="108">
        <f t="shared" si="23"/>
        <v>22.08</v>
      </c>
      <c r="D164" s="108"/>
      <c r="E164" s="108"/>
      <c r="F164" s="108">
        <f t="shared" si="18"/>
        <v>22.08</v>
      </c>
      <c r="G164" s="108" t="str">
        <f>给排水!E92</f>
        <v>m</v>
      </c>
      <c r="H164" s="108">
        <f>给排水!D92</f>
        <v>920</v>
      </c>
      <c r="I164" s="115">
        <f>给排水!F92</f>
        <v>240</v>
      </c>
      <c r="J164" s="134"/>
      <c r="K164" s="114" t="str">
        <f>给排水!H92</f>
        <v>环刚度≥8KN/m2</v>
      </c>
    </row>
    <row r="165" s="98" customFormat="1" ht="32" customHeight="1" spans="1:11">
      <c r="A165" s="113" t="s">
        <v>138</v>
      </c>
      <c r="B165" s="116" t="str">
        <f>给排水!C93</f>
        <v>污水检查井</v>
      </c>
      <c r="C165" s="108">
        <f t="shared" si="23"/>
        <v>53</v>
      </c>
      <c r="D165" s="108"/>
      <c r="E165" s="108"/>
      <c r="F165" s="108">
        <f t="shared" si="18"/>
        <v>53</v>
      </c>
      <c r="G165" s="108" t="str">
        <f>给排水!E93</f>
        <v>座</v>
      </c>
      <c r="H165" s="108">
        <f>给排水!D93</f>
        <v>53</v>
      </c>
      <c r="I165" s="115">
        <f>给排水!F93</f>
        <v>10000</v>
      </c>
      <c r="J165" s="134"/>
      <c r="K165" s="114" t="str">
        <f>给排水!H93</f>
        <v>钢筋混凝土检查井，详见图集04S531-5-P15</v>
      </c>
    </row>
    <row r="166" s="98" customFormat="1" ht="29" customHeight="1" spans="1:11">
      <c r="A166" s="113" t="s">
        <v>139</v>
      </c>
      <c r="B166" s="116" t="str">
        <f>给排水!C94</f>
        <v>挖方</v>
      </c>
      <c r="C166" s="108">
        <f t="shared" si="23"/>
        <v>187.5</v>
      </c>
      <c r="D166" s="108"/>
      <c r="E166" s="108"/>
      <c r="F166" s="108">
        <f t="shared" si="18"/>
        <v>187.5</v>
      </c>
      <c r="G166" s="108" t="str">
        <f>给排水!E94</f>
        <v>m3</v>
      </c>
      <c r="H166" s="108">
        <f>给排水!D94</f>
        <v>21000</v>
      </c>
      <c r="I166" s="115">
        <f>给排水!F94</f>
        <v>89.2857142857143</v>
      </c>
      <c r="J166" s="134"/>
      <c r="K166" s="114" t="str">
        <f>给排水!H94</f>
        <v>注：表中土石方量仅供参考，以现场实际开挖量为准。</v>
      </c>
    </row>
    <row r="167" s="98" customFormat="1" ht="25" customHeight="1" spans="1:11">
      <c r="A167" s="113" t="s">
        <v>140</v>
      </c>
      <c r="B167" s="116" t="str">
        <f>给排水!C95</f>
        <v>填方</v>
      </c>
      <c r="C167" s="108">
        <f t="shared" si="23"/>
        <v>39</v>
      </c>
      <c r="D167" s="108"/>
      <c r="E167" s="108"/>
      <c r="F167" s="108">
        <f t="shared" si="18"/>
        <v>39</v>
      </c>
      <c r="G167" s="108" t="str">
        <f>给排水!E95</f>
        <v>m3</v>
      </c>
      <c r="H167" s="108">
        <f>给排水!D95</f>
        <v>19500</v>
      </c>
      <c r="I167" s="115">
        <f>给排水!F95</f>
        <v>20</v>
      </c>
      <c r="J167" s="134"/>
      <c r="K167" s="114" t="str">
        <f>给排水!H95</f>
        <v>注：表中土石方量仅供参考，以现场实际开挖量为准。</v>
      </c>
    </row>
    <row r="168" s="98" customFormat="1" ht="36" customHeight="1" spans="1:11">
      <c r="A168" s="112">
        <v>2.3</v>
      </c>
      <c r="B168" s="110" t="s">
        <v>57</v>
      </c>
      <c r="C168" s="111">
        <f>SUM(C169:C171)</f>
        <v>30</v>
      </c>
      <c r="D168" s="111"/>
      <c r="E168" s="111"/>
      <c r="F168" s="111">
        <f t="shared" si="18"/>
        <v>30</v>
      </c>
      <c r="G168" s="111" t="s">
        <v>49</v>
      </c>
      <c r="H168" s="111">
        <f>H169</f>
        <v>200</v>
      </c>
      <c r="I168" s="128">
        <f>C168/H168*10000</f>
        <v>1500</v>
      </c>
      <c r="J168" s="134"/>
      <c r="K168" s="133"/>
    </row>
    <row r="169" s="98" customFormat="1" ht="36" customHeight="1" spans="1:11">
      <c r="A169" s="113" t="s">
        <v>141</v>
      </c>
      <c r="B169" s="116" t="str">
        <f>给排水!C96</f>
        <v>管道疏浚</v>
      </c>
      <c r="C169" s="108">
        <f t="shared" ref="C169:C172" si="24">H169*I169/10000</f>
        <v>4</v>
      </c>
      <c r="D169" s="108"/>
      <c r="E169" s="108"/>
      <c r="F169" s="108">
        <f t="shared" si="18"/>
        <v>4</v>
      </c>
      <c r="G169" s="108" t="str">
        <f>给排水!E96</f>
        <v>m</v>
      </c>
      <c r="H169" s="108">
        <f>给排水!D96</f>
        <v>200</v>
      </c>
      <c r="I169" s="115">
        <f>给排水!F96</f>
        <v>200</v>
      </c>
      <c r="J169" s="134"/>
      <c r="K169" s="114" t="str">
        <f>给排水!H96</f>
        <v>原d1000雨污合流管道</v>
      </c>
    </row>
    <row r="170" s="98" customFormat="1" ht="36" customHeight="1" spans="1:11">
      <c r="A170" s="113" t="s">
        <v>142</v>
      </c>
      <c r="B170" s="116" t="str">
        <f>给排水!C97</f>
        <v>废除封堵</v>
      </c>
      <c r="C170" s="108">
        <f t="shared" si="24"/>
        <v>6</v>
      </c>
      <c r="D170" s="108"/>
      <c r="E170" s="108"/>
      <c r="F170" s="108">
        <f t="shared" si="18"/>
        <v>6</v>
      </c>
      <c r="G170" s="108" t="str">
        <f>给排水!E97</f>
        <v>处</v>
      </c>
      <c r="H170" s="108">
        <f>给排水!D97</f>
        <v>12</v>
      </c>
      <c r="I170" s="115">
        <f>给排水!F97</f>
        <v>5000</v>
      </c>
      <c r="J170" s="134"/>
      <c r="K170" s="133"/>
    </row>
    <row r="171" s="98" customFormat="1" ht="36" customHeight="1" spans="1:11">
      <c r="A171" s="113" t="s">
        <v>143</v>
      </c>
      <c r="B171" s="116" t="str">
        <f>给排水!C98</f>
        <v>管线迁改</v>
      </c>
      <c r="C171" s="108">
        <f t="shared" si="24"/>
        <v>20</v>
      </c>
      <c r="D171" s="108"/>
      <c r="E171" s="108"/>
      <c r="F171" s="108">
        <f t="shared" si="18"/>
        <v>20</v>
      </c>
      <c r="G171" s="108" t="str">
        <f>给排水!E98</f>
        <v>项</v>
      </c>
      <c r="H171" s="108">
        <f>给排水!D98</f>
        <v>1</v>
      </c>
      <c r="I171" s="115">
        <f>给排水!F98</f>
        <v>200000</v>
      </c>
      <c r="J171" s="134"/>
      <c r="K171" s="133"/>
    </row>
    <row r="172" s="98" customFormat="1" ht="26" customHeight="1" spans="1:11">
      <c r="A172" s="112">
        <v>3</v>
      </c>
      <c r="B172" s="110" t="s">
        <v>58</v>
      </c>
      <c r="C172" s="111">
        <f t="shared" si="24"/>
        <v>70.3172131694079</v>
      </c>
      <c r="D172" s="111"/>
      <c r="E172" s="111"/>
      <c r="F172" s="111">
        <f t="shared" si="18"/>
        <v>70.3172131694079</v>
      </c>
      <c r="G172" s="111" t="s">
        <v>59</v>
      </c>
      <c r="H172" s="111">
        <v>1</v>
      </c>
      <c r="I172" s="128">
        <f>Q12</f>
        <v>703172.131694079</v>
      </c>
      <c r="J172" s="132"/>
      <c r="K172" s="133"/>
    </row>
    <row r="173" s="97" customFormat="1" ht="18" customHeight="1" spans="1:11">
      <c r="A173" s="109" t="s">
        <v>67</v>
      </c>
      <c r="B173" s="110" t="s">
        <v>13</v>
      </c>
      <c r="C173" s="111">
        <f>C174+C186+C207</f>
        <v>692.110294821968</v>
      </c>
      <c r="D173" s="111"/>
      <c r="E173" s="111"/>
      <c r="F173" s="111">
        <f t="shared" si="18"/>
        <v>692.110294821968</v>
      </c>
      <c r="G173" s="111" t="s">
        <v>49</v>
      </c>
      <c r="H173" s="111">
        <f>H186</f>
        <v>1585</v>
      </c>
      <c r="I173" s="111">
        <f>F173/H173*10000</f>
        <v>4366.62646575374</v>
      </c>
      <c r="J173" s="126"/>
      <c r="K173" s="123"/>
    </row>
    <row r="174" s="97" customFormat="1" spans="1:11">
      <c r="A174" s="112">
        <v>1</v>
      </c>
      <c r="B174" s="110" t="s">
        <v>51</v>
      </c>
      <c r="C174" s="111">
        <f>SUM(C175:C185)</f>
        <v>366.618519230769</v>
      </c>
      <c r="D174" s="111"/>
      <c r="E174" s="111"/>
      <c r="F174" s="111">
        <f t="shared" si="18"/>
        <v>366.618519230769</v>
      </c>
      <c r="G174" s="111" t="s">
        <v>52</v>
      </c>
      <c r="H174" s="111">
        <f>H185</f>
        <v>9197.63</v>
      </c>
      <c r="I174" s="128">
        <f>F174/H174*10000</f>
        <v>398.601073570876</v>
      </c>
      <c r="J174" s="126"/>
      <c r="K174" s="123"/>
    </row>
    <row r="175" s="97" customFormat="1" ht="40" customHeight="1" spans="1:11">
      <c r="A175" s="113">
        <v>1.1</v>
      </c>
      <c r="B175" s="116" t="str">
        <f>道路!B66</f>
        <v>路面破除</v>
      </c>
      <c r="C175" s="108">
        <f t="shared" ref="C175:C185" si="25">I175*H175/10000</f>
        <v>22.8691692307692</v>
      </c>
      <c r="D175" s="108"/>
      <c r="E175" s="108"/>
      <c r="F175" s="108">
        <f t="shared" si="18"/>
        <v>22.8691692307692</v>
      </c>
      <c r="G175" s="108" t="str">
        <f>道路!C66</f>
        <v>m2</v>
      </c>
      <c r="H175" s="6">
        <f>道路!D66</f>
        <v>4645.3</v>
      </c>
      <c r="I175" s="129">
        <f>道路!E66</f>
        <v>49.2307692307692</v>
      </c>
      <c r="J175" s="126"/>
      <c r="K175" s="114" t="str">
        <f>道路!G66</f>
        <v>厚度按0.64m</v>
      </c>
    </row>
    <row r="176" s="97" customFormat="1" ht="84" spans="1:11">
      <c r="A176" s="113">
        <v>1.2</v>
      </c>
      <c r="B176" s="116" t="str">
        <f>道路!B67</f>
        <v>路面恢复(破除宽大于3m)</v>
      </c>
      <c r="C176" s="108">
        <f t="shared" si="25"/>
        <v>141.3885</v>
      </c>
      <c r="D176" s="108"/>
      <c r="E176" s="108"/>
      <c r="F176" s="108">
        <f t="shared" si="18"/>
        <v>141.3885</v>
      </c>
      <c r="G176" s="108" t="str">
        <f>道路!C67</f>
        <v>m2</v>
      </c>
      <c r="H176" s="6">
        <f>道路!D67</f>
        <v>3382.5</v>
      </c>
      <c r="I176" s="129">
        <f>道路!E67</f>
        <v>418</v>
      </c>
      <c r="J176" s="131"/>
      <c r="K176" s="114" t="str">
        <f>道路!G67</f>
        <v>4cm细粒式沥青砼(AC-13C，4%SBS 改性)+改性乳化沥青粘层油0.3~0.6L/m2+5cm沥青混凝土AC-20C下面层+18cm水泥稳定碎石(5%)+18cm水泥稳定碎石(4%)+18cm水泥石灰综合稳定土(2:10:88，厂拌)</v>
      </c>
    </row>
    <row r="177" s="97" customFormat="1" ht="72" spans="1:11">
      <c r="A177" s="113">
        <v>1.3</v>
      </c>
      <c r="B177" s="116" t="str">
        <f>道路!B68</f>
        <v>路面恢复(破除宽小于3m)</v>
      </c>
      <c r="C177" s="108">
        <f t="shared" si="25"/>
        <v>52.78504</v>
      </c>
      <c r="D177" s="108"/>
      <c r="E177" s="108"/>
      <c r="F177" s="108">
        <f t="shared" si="18"/>
        <v>52.78504</v>
      </c>
      <c r="G177" s="108" t="str">
        <f>道路!C68</f>
        <v>m2</v>
      </c>
      <c r="H177" s="6">
        <f>道路!D68</f>
        <v>1262.8</v>
      </c>
      <c r="I177" s="129">
        <f>道路!E68</f>
        <v>418</v>
      </c>
      <c r="J177" s="131"/>
      <c r="K177" s="114" t="str">
        <f>道路!G68</f>
        <v>4cm 细粒式沥青砼(AC-13C，4%SBS 改性)+改性乳化沥青粘层油0.3~0.6L/m2+6cm沥青混凝土AC-20C下面层+18cmC30砼基层+18cmC20砼底基层+18cm水泥石灰综合稳定土(2:10:88，厂拌)</v>
      </c>
    </row>
    <row r="178" s="97" customFormat="1" ht="36" customHeight="1" spans="1:11">
      <c r="A178" s="113">
        <v>1.4</v>
      </c>
      <c r="B178" s="116" t="str">
        <f>道路!B69</f>
        <v>机制C30砼路缘石15x40x100cm</v>
      </c>
      <c r="C178" s="108">
        <f t="shared" si="25"/>
        <v>10.296</v>
      </c>
      <c r="D178" s="108"/>
      <c r="E178" s="108"/>
      <c r="F178" s="108">
        <f t="shared" si="18"/>
        <v>10.296</v>
      </c>
      <c r="G178" s="108" t="str">
        <f>道路!C69</f>
        <v>m</v>
      </c>
      <c r="H178" s="6">
        <f>道路!D69</f>
        <v>1372.8</v>
      </c>
      <c r="I178" s="129">
        <f>道路!E69</f>
        <v>75</v>
      </c>
      <c r="J178" s="131"/>
      <c r="K178" s="114"/>
    </row>
    <row r="179" s="97" customFormat="1" ht="40" customHeight="1" spans="1:11">
      <c r="A179" s="113">
        <v>1.5</v>
      </c>
      <c r="B179" s="116" t="str">
        <f>道路!B70</f>
        <v>人行道破除</v>
      </c>
      <c r="C179" s="108">
        <f t="shared" si="25"/>
        <v>9.83994</v>
      </c>
      <c r="D179" s="108"/>
      <c r="E179" s="108"/>
      <c r="F179" s="108">
        <f t="shared" si="18"/>
        <v>9.83994</v>
      </c>
      <c r="G179" s="108" t="str">
        <f>道路!C70</f>
        <v>m2</v>
      </c>
      <c r="H179" s="6">
        <f>道路!D70</f>
        <v>3279.98</v>
      </c>
      <c r="I179" s="129">
        <f>道路!E70</f>
        <v>30</v>
      </c>
      <c r="J179" s="131"/>
      <c r="K179" s="114"/>
    </row>
    <row r="180" s="97" customFormat="1" ht="36" spans="1:11">
      <c r="A180" s="113">
        <v>1.6</v>
      </c>
      <c r="B180" s="116" t="str">
        <f>道路!B71</f>
        <v>人行道恢复</v>
      </c>
      <c r="C180" s="108">
        <f t="shared" si="25"/>
        <v>54.11967</v>
      </c>
      <c r="D180" s="108"/>
      <c r="E180" s="108"/>
      <c r="F180" s="108">
        <f t="shared" si="18"/>
        <v>54.11967</v>
      </c>
      <c r="G180" s="108" t="str">
        <f>道路!C71</f>
        <v>m2</v>
      </c>
      <c r="H180" s="6">
        <f>道路!D71</f>
        <v>3279.98</v>
      </c>
      <c r="I180" s="129">
        <f>道路!E71</f>
        <v>165</v>
      </c>
      <c r="J180" s="131"/>
      <c r="K180" s="114" t="str">
        <f>道路!G71</f>
        <v>6cm 厚砂基透水砖+3cm 厚 M10 干硬性水泥砂浆+15cm厚C20透水混凝土+15cm 厚级配碎石</v>
      </c>
    </row>
    <row r="181" s="97" customFormat="1" ht="25" customHeight="1" spans="1:11">
      <c r="A181" s="113">
        <v>1.7</v>
      </c>
      <c r="B181" s="116" t="str">
        <f>道路!B72</f>
        <v>标线恢复</v>
      </c>
      <c r="C181" s="108">
        <f t="shared" si="25"/>
        <v>1.40805</v>
      </c>
      <c r="D181" s="108"/>
      <c r="E181" s="108"/>
      <c r="F181" s="108">
        <f t="shared" si="18"/>
        <v>1.40805</v>
      </c>
      <c r="G181" s="108" t="str">
        <f>道路!C72</f>
        <v>m2</v>
      </c>
      <c r="H181" s="6">
        <f>道路!D72</f>
        <v>469.35</v>
      </c>
      <c r="I181" s="129">
        <f>道路!E72</f>
        <v>30</v>
      </c>
      <c r="J181" s="131"/>
      <c r="K181" s="114"/>
    </row>
    <row r="182" s="97" customFormat="1" spans="1:11">
      <c r="A182" s="113">
        <v>1.8</v>
      </c>
      <c r="B182" s="116" t="str">
        <f>道路!B73</f>
        <v>行道树迁移及恢复</v>
      </c>
      <c r="C182" s="108">
        <f t="shared" si="25"/>
        <v>5.44</v>
      </c>
      <c r="D182" s="108"/>
      <c r="E182" s="108"/>
      <c r="F182" s="108">
        <f t="shared" si="18"/>
        <v>5.44</v>
      </c>
      <c r="G182" s="108" t="str">
        <f>道路!C73</f>
        <v>棵</v>
      </c>
      <c r="H182" s="6">
        <f>道路!D73</f>
        <v>68</v>
      </c>
      <c r="I182" s="129">
        <f>道路!E73</f>
        <v>800</v>
      </c>
      <c r="J182" s="131"/>
      <c r="K182" s="114"/>
    </row>
    <row r="183" s="97" customFormat="1" spans="1:11">
      <c r="A183" s="113">
        <v>1.9</v>
      </c>
      <c r="B183" s="116" t="str">
        <f>道路!B74</f>
        <v>侧分带破除</v>
      </c>
      <c r="C183" s="108">
        <f t="shared" si="25"/>
        <v>2.409</v>
      </c>
      <c r="D183" s="108"/>
      <c r="E183" s="108"/>
      <c r="F183" s="108">
        <f t="shared" si="18"/>
        <v>2.409</v>
      </c>
      <c r="G183" s="108" t="str">
        <f>道路!C74</f>
        <v>m2</v>
      </c>
      <c r="H183" s="6">
        <f>道路!D74</f>
        <v>803</v>
      </c>
      <c r="I183" s="129">
        <f>道路!E74</f>
        <v>30</v>
      </c>
      <c r="J183" s="131"/>
      <c r="K183" s="114"/>
    </row>
    <row r="184" s="97" customFormat="1" spans="1:11">
      <c r="A184" s="117">
        <v>1.1</v>
      </c>
      <c r="B184" s="116" t="str">
        <f>道路!B75</f>
        <v>侧分带恢复</v>
      </c>
      <c r="C184" s="108">
        <f t="shared" si="25"/>
        <v>20.075</v>
      </c>
      <c r="D184" s="108"/>
      <c r="E184" s="108"/>
      <c r="F184" s="108">
        <f t="shared" si="18"/>
        <v>20.075</v>
      </c>
      <c r="G184" s="108" t="str">
        <f>道路!C75</f>
        <v>m2</v>
      </c>
      <c r="H184" s="6">
        <f>道路!D75</f>
        <v>803</v>
      </c>
      <c r="I184" s="129">
        <f>道路!E75</f>
        <v>250</v>
      </c>
      <c r="J184" s="131"/>
      <c r="K184" s="114"/>
    </row>
    <row r="185" s="97" customFormat="1" spans="1:11">
      <c r="A185" s="117">
        <v>1.11</v>
      </c>
      <c r="B185" s="116" t="str">
        <f>道路!B76</f>
        <v>施工措施项目费</v>
      </c>
      <c r="C185" s="108">
        <f t="shared" si="25"/>
        <v>45.98815</v>
      </c>
      <c r="D185" s="108"/>
      <c r="E185" s="108"/>
      <c r="F185" s="108">
        <f t="shared" si="18"/>
        <v>45.98815</v>
      </c>
      <c r="G185" s="108" t="str">
        <f>道路!C76</f>
        <v>m2</v>
      </c>
      <c r="H185" s="6">
        <f>道路!D76</f>
        <v>9197.63</v>
      </c>
      <c r="I185" s="129">
        <f>道路!E76</f>
        <v>50</v>
      </c>
      <c r="J185" s="131"/>
      <c r="K185" s="114"/>
    </row>
    <row r="186" s="98" customFormat="1" ht="21" customHeight="1" spans="1:11">
      <c r="A186" s="112">
        <v>2</v>
      </c>
      <c r="B186" s="110" t="s">
        <v>53</v>
      </c>
      <c r="C186" s="111">
        <f>C187+C197+C203</f>
        <v>294.534</v>
      </c>
      <c r="D186" s="111"/>
      <c r="E186" s="111"/>
      <c r="F186" s="111">
        <f t="shared" si="18"/>
        <v>294.534</v>
      </c>
      <c r="G186" s="111" t="s">
        <v>49</v>
      </c>
      <c r="H186" s="111">
        <f>H187+H197+H203</f>
        <v>1585</v>
      </c>
      <c r="I186" s="128">
        <f>F186/H186*10000</f>
        <v>1858.25867507886</v>
      </c>
      <c r="J186" s="132"/>
      <c r="K186" s="133"/>
    </row>
    <row r="187" s="98" customFormat="1" ht="33" customHeight="1" spans="1:11">
      <c r="A187" s="112">
        <v>2.1</v>
      </c>
      <c r="B187" s="110" t="s">
        <v>55</v>
      </c>
      <c r="C187" s="111">
        <f>SUM(C188:C196)</f>
        <v>117.294</v>
      </c>
      <c r="D187" s="111"/>
      <c r="E187" s="111"/>
      <c r="F187" s="111">
        <f t="shared" ref="F187:F230" si="26">SUM(C187:E187)</f>
        <v>117.294</v>
      </c>
      <c r="G187" s="111" t="s">
        <v>49</v>
      </c>
      <c r="H187" s="111">
        <f>SUM(H188:H192)</f>
        <v>675</v>
      </c>
      <c r="I187" s="128">
        <f>F187/H187*10000</f>
        <v>1737.68888888889</v>
      </c>
      <c r="J187" s="132"/>
      <c r="K187" s="133"/>
    </row>
    <row r="188" s="98" customFormat="1" ht="33" customHeight="1" spans="1:11">
      <c r="A188" s="113" t="s">
        <v>127</v>
      </c>
      <c r="B188" s="116" t="str">
        <f>给排水!C102</f>
        <v>II级钢筋混凝土管d300</v>
      </c>
      <c r="C188" s="108">
        <f t="shared" ref="C188:C196" si="27">H188*I188/10000</f>
        <v>4.2</v>
      </c>
      <c r="D188" s="108"/>
      <c r="E188" s="108"/>
      <c r="F188" s="108">
        <f t="shared" si="26"/>
        <v>4.2</v>
      </c>
      <c r="G188" s="108" t="str">
        <f>给排水!E102</f>
        <v>m</v>
      </c>
      <c r="H188" s="108">
        <f>给排水!D102</f>
        <v>300</v>
      </c>
      <c r="I188" s="115">
        <f>给排水!F102</f>
        <v>140</v>
      </c>
      <c r="J188" s="132"/>
      <c r="K188" s="114" t="str">
        <f>给排水!H102</f>
        <v>雨水口连接管</v>
      </c>
    </row>
    <row r="189" s="98" customFormat="1" ht="33" customHeight="1" spans="1:11">
      <c r="A189" s="113" t="s">
        <v>128</v>
      </c>
      <c r="B189" s="116" t="str">
        <f>给排水!C103</f>
        <v>II级钢筋混凝土管d600</v>
      </c>
      <c r="C189" s="108">
        <f t="shared" si="27"/>
        <v>3.378</v>
      </c>
      <c r="D189" s="108"/>
      <c r="E189" s="108"/>
      <c r="F189" s="108">
        <f t="shared" si="26"/>
        <v>3.378</v>
      </c>
      <c r="G189" s="108" t="str">
        <f>给排水!E103</f>
        <v>m</v>
      </c>
      <c r="H189" s="108">
        <f>给排水!D103</f>
        <v>60</v>
      </c>
      <c r="I189" s="115">
        <f>给排水!F103</f>
        <v>563</v>
      </c>
      <c r="J189" s="132"/>
      <c r="K189" s="114" t="str">
        <f>给排水!H103</f>
        <v>地块预留支管</v>
      </c>
    </row>
    <row r="190" s="98" customFormat="1" ht="33" customHeight="1" spans="1:11">
      <c r="A190" s="113" t="s">
        <v>129</v>
      </c>
      <c r="B190" s="116" t="str">
        <f>给排水!C104</f>
        <v>II级钢筋混凝土管d800</v>
      </c>
      <c r="C190" s="108">
        <f t="shared" si="27"/>
        <v>1.146</v>
      </c>
      <c r="D190" s="108"/>
      <c r="E190" s="108"/>
      <c r="F190" s="108">
        <f t="shared" si="26"/>
        <v>1.146</v>
      </c>
      <c r="G190" s="108" t="str">
        <f>给排水!E104</f>
        <v>m</v>
      </c>
      <c r="H190" s="108">
        <f>给排水!D104</f>
        <v>15</v>
      </c>
      <c r="I190" s="115">
        <f>给排水!F104</f>
        <v>764</v>
      </c>
      <c r="J190" s="132"/>
      <c r="K190" s="114"/>
    </row>
    <row r="191" s="98" customFormat="1" ht="33" customHeight="1" spans="1:11">
      <c r="A191" s="113" t="s">
        <v>130</v>
      </c>
      <c r="B191" s="116" t="str">
        <f>给排水!C105</f>
        <v>II级钢筋混凝土管d1000</v>
      </c>
      <c r="C191" s="108">
        <f t="shared" si="27"/>
        <v>4.9</v>
      </c>
      <c r="D191" s="108"/>
      <c r="E191" s="108"/>
      <c r="F191" s="108">
        <f t="shared" si="26"/>
        <v>4.9</v>
      </c>
      <c r="G191" s="108" t="str">
        <f>给排水!E105</f>
        <v>m</v>
      </c>
      <c r="H191" s="108">
        <f>给排水!D105</f>
        <v>50</v>
      </c>
      <c r="I191" s="115">
        <f>给排水!F105</f>
        <v>980</v>
      </c>
      <c r="J191" s="132"/>
      <c r="K191" s="114"/>
    </row>
    <row r="192" s="98" customFormat="1" ht="33" customHeight="1" spans="1:11">
      <c r="A192" s="113" t="s">
        <v>131</v>
      </c>
      <c r="B192" s="116" t="str">
        <f>给排水!C106</f>
        <v>II级钢筋混凝土管d1200</v>
      </c>
      <c r="C192" s="108">
        <f t="shared" si="27"/>
        <v>32</v>
      </c>
      <c r="D192" s="108"/>
      <c r="E192" s="108"/>
      <c r="F192" s="108">
        <f t="shared" si="26"/>
        <v>32</v>
      </c>
      <c r="G192" s="108" t="str">
        <f>给排水!E106</f>
        <v>m</v>
      </c>
      <c r="H192" s="108">
        <f>给排水!D106</f>
        <v>250</v>
      </c>
      <c r="I192" s="115">
        <f>给排水!F106</f>
        <v>1280</v>
      </c>
      <c r="J192" s="132"/>
      <c r="K192" s="114"/>
    </row>
    <row r="193" s="98" customFormat="1" ht="33" customHeight="1" spans="1:11">
      <c r="A193" s="113" t="s">
        <v>132</v>
      </c>
      <c r="B193" s="116" t="str">
        <f>给排水!C107</f>
        <v>雨水检查井</v>
      </c>
      <c r="C193" s="108">
        <f t="shared" si="27"/>
        <v>14</v>
      </c>
      <c r="D193" s="108"/>
      <c r="E193" s="108"/>
      <c r="F193" s="108">
        <f t="shared" si="26"/>
        <v>14</v>
      </c>
      <c r="G193" s="108" t="str">
        <f>给排水!E107</f>
        <v>座</v>
      </c>
      <c r="H193" s="108">
        <f>给排水!D107</f>
        <v>20</v>
      </c>
      <c r="I193" s="115">
        <f>给排水!F107</f>
        <v>7000</v>
      </c>
      <c r="J193" s="132"/>
      <c r="K193" s="114" t="str">
        <f>给排水!H107</f>
        <v>钢筋混凝土检查井，详见图集20S515-P29、31</v>
      </c>
    </row>
    <row r="194" s="98" customFormat="1" ht="33" customHeight="1" spans="1:11">
      <c r="A194" s="113" t="s">
        <v>133</v>
      </c>
      <c r="B194" s="116" t="str">
        <f>给排水!C108</f>
        <v>双箅雨水口</v>
      </c>
      <c r="C194" s="108">
        <f t="shared" si="27"/>
        <v>3.3</v>
      </c>
      <c r="D194" s="108"/>
      <c r="E194" s="108"/>
      <c r="F194" s="108">
        <f t="shared" si="26"/>
        <v>3.3</v>
      </c>
      <c r="G194" s="108" t="str">
        <f>给排水!E108</f>
        <v>座</v>
      </c>
      <c r="H194" s="108">
        <f>给排水!D108</f>
        <v>30</v>
      </c>
      <c r="I194" s="115">
        <f>给排水!F108</f>
        <v>1100</v>
      </c>
      <c r="J194" s="132"/>
      <c r="K194" s="114" t="str">
        <f>给排水!H108</f>
        <v>参16S518-P43</v>
      </c>
    </row>
    <row r="195" s="98" customFormat="1" ht="33" customHeight="1" spans="1:11">
      <c r="A195" s="113" t="s">
        <v>134</v>
      </c>
      <c r="B195" s="116" t="str">
        <f>给排水!C109</f>
        <v>挖方</v>
      </c>
      <c r="C195" s="108">
        <f t="shared" si="27"/>
        <v>44.882</v>
      </c>
      <c r="D195" s="108"/>
      <c r="E195" s="108"/>
      <c r="F195" s="108">
        <f t="shared" si="26"/>
        <v>44.882</v>
      </c>
      <c r="G195" s="108" t="str">
        <f>给排水!E109</f>
        <v>m3</v>
      </c>
      <c r="H195" s="108">
        <f>给排水!D109</f>
        <v>5074</v>
      </c>
      <c r="I195" s="115">
        <f>给排水!F109</f>
        <v>88.4548679542767</v>
      </c>
      <c r="J195" s="132"/>
      <c r="K195" s="114" t="str">
        <f>给排水!H109</f>
        <v>注：表中土石方量仅供参考，以现场实际开挖量为准。</v>
      </c>
    </row>
    <row r="196" s="98" customFormat="1" ht="33" customHeight="1" spans="1:11">
      <c r="A196" s="113" t="s">
        <v>135</v>
      </c>
      <c r="B196" s="116" t="str">
        <f>给排水!C110</f>
        <v>填方</v>
      </c>
      <c r="C196" s="108">
        <f t="shared" si="27"/>
        <v>9.488</v>
      </c>
      <c r="D196" s="108"/>
      <c r="E196" s="108"/>
      <c r="F196" s="108">
        <f t="shared" si="26"/>
        <v>9.488</v>
      </c>
      <c r="G196" s="108" t="str">
        <f>给排水!E110</f>
        <v>m3</v>
      </c>
      <c r="H196" s="108">
        <f>给排水!D110</f>
        <v>4744</v>
      </c>
      <c r="I196" s="115">
        <f>给排水!F110</f>
        <v>20</v>
      </c>
      <c r="J196" s="132"/>
      <c r="K196" s="114" t="str">
        <f>给排水!H110</f>
        <v>注：表中土石方量仅供参考，以现场实际开挖量为准。</v>
      </c>
    </row>
    <row r="197" s="98" customFormat="1" ht="53" customHeight="1" spans="1:11">
      <c r="A197" s="112">
        <v>2.2</v>
      </c>
      <c r="B197" s="110" t="s">
        <v>56</v>
      </c>
      <c r="C197" s="111">
        <f>SUM(C198:C202)</f>
        <v>156.24</v>
      </c>
      <c r="D197" s="111"/>
      <c r="E197" s="111"/>
      <c r="F197" s="111">
        <f t="shared" si="26"/>
        <v>156.24</v>
      </c>
      <c r="G197" s="111" t="s">
        <v>49</v>
      </c>
      <c r="H197" s="111">
        <f>SUM(H198:H199)</f>
        <v>810</v>
      </c>
      <c r="I197" s="128">
        <f>F197/H197*10000</f>
        <v>1928.88888888889</v>
      </c>
      <c r="J197" s="134"/>
      <c r="K197" s="133"/>
    </row>
    <row r="198" s="97" customFormat="1" ht="28" customHeight="1" spans="1:11">
      <c r="A198" s="113" t="s">
        <v>136</v>
      </c>
      <c r="B198" s="116" t="str">
        <f>给排水!C111</f>
        <v>新型钢带增强聚乙烯螺旋波纹管d400</v>
      </c>
      <c r="C198" s="108">
        <f t="shared" ref="C198:C202" si="28">H198*I198/10000</f>
        <v>5</v>
      </c>
      <c r="D198" s="108"/>
      <c r="E198" s="108"/>
      <c r="F198" s="108">
        <f t="shared" si="26"/>
        <v>5</v>
      </c>
      <c r="G198" s="108" t="str">
        <f>给排水!E111</f>
        <v>m</v>
      </c>
      <c r="H198" s="108">
        <f>给排水!D111</f>
        <v>250</v>
      </c>
      <c r="I198" s="115">
        <f>给排水!F111</f>
        <v>200</v>
      </c>
      <c r="J198" s="131"/>
      <c r="K198" s="114" t="str">
        <f>给排水!H111</f>
        <v>环刚度≥8KN/m2</v>
      </c>
    </row>
    <row r="199" s="98" customFormat="1" ht="36" customHeight="1" spans="1:11">
      <c r="A199" s="113" t="s">
        <v>137</v>
      </c>
      <c r="B199" s="116" t="str">
        <f>给排水!C112</f>
        <v>新型钢带增强聚乙烯螺旋波纹管d500</v>
      </c>
      <c r="C199" s="108">
        <f t="shared" si="28"/>
        <v>13.44</v>
      </c>
      <c r="D199" s="108"/>
      <c r="E199" s="108"/>
      <c r="F199" s="108">
        <f t="shared" si="26"/>
        <v>13.44</v>
      </c>
      <c r="G199" s="108" t="str">
        <f>给排水!E112</f>
        <v>m</v>
      </c>
      <c r="H199" s="108">
        <f>给排水!D112</f>
        <v>560</v>
      </c>
      <c r="I199" s="115">
        <f>给排水!F112</f>
        <v>240</v>
      </c>
      <c r="J199" s="134"/>
      <c r="K199" s="114" t="str">
        <f>给排水!H112</f>
        <v>环刚度≥8KN/m3</v>
      </c>
    </row>
    <row r="200" s="98" customFormat="1" ht="32" customHeight="1" spans="1:11">
      <c r="A200" s="113" t="s">
        <v>138</v>
      </c>
      <c r="B200" s="116" t="str">
        <f>给排水!C113</f>
        <v>污水检查井</v>
      </c>
      <c r="C200" s="108">
        <f t="shared" si="28"/>
        <v>40</v>
      </c>
      <c r="D200" s="108"/>
      <c r="E200" s="108"/>
      <c r="F200" s="108">
        <f t="shared" si="26"/>
        <v>40</v>
      </c>
      <c r="G200" s="108" t="str">
        <f>给排水!E113</f>
        <v>座</v>
      </c>
      <c r="H200" s="108">
        <f>给排水!D113</f>
        <v>40</v>
      </c>
      <c r="I200" s="115">
        <f>给排水!F113</f>
        <v>10000</v>
      </c>
      <c r="J200" s="134"/>
      <c r="K200" s="114" t="str">
        <f>给排水!H113</f>
        <v>钢筋混凝土检查井，详见图集04S531-5-P15</v>
      </c>
    </row>
    <row r="201" s="98" customFormat="1" ht="29" customHeight="1" spans="1:11">
      <c r="A201" s="113" t="s">
        <v>139</v>
      </c>
      <c r="B201" s="116" t="str">
        <f>给排水!C114</f>
        <v>挖方</v>
      </c>
      <c r="C201" s="108">
        <f t="shared" si="28"/>
        <v>79.5</v>
      </c>
      <c r="D201" s="108"/>
      <c r="E201" s="108"/>
      <c r="F201" s="108">
        <f t="shared" si="26"/>
        <v>79.5</v>
      </c>
      <c r="G201" s="108" t="str">
        <f>给排水!E114</f>
        <v>m3</v>
      </c>
      <c r="H201" s="108">
        <f>给排水!D114</f>
        <v>9450</v>
      </c>
      <c r="I201" s="115">
        <f>给排水!F114</f>
        <v>84.1269841269841</v>
      </c>
      <c r="J201" s="134"/>
      <c r="K201" s="114" t="str">
        <f>给排水!H114</f>
        <v>注：表中土石方量仅供参考，以现场实际开挖量为准。</v>
      </c>
    </row>
    <row r="202" s="98" customFormat="1" ht="25" customHeight="1" spans="1:11">
      <c r="A202" s="113" t="s">
        <v>140</v>
      </c>
      <c r="B202" s="116" t="str">
        <f>给排水!C115</f>
        <v>填方</v>
      </c>
      <c r="C202" s="108">
        <f t="shared" si="28"/>
        <v>18.3</v>
      </c>
      <c r="D202" s="108"/>
      <c r="E202" s="108"/>
      <c r="F202" s="108">
        <f t="shared" si="26"/>
        <v>18.3</v>
      </c>
      <c r="G202" s="108" t="str">
        <f>给排水!E115</f>
        <v>m3</v>
      </c>
      <c r="H202" s="108">
        <f>给排水!D115</f>
        <v>9150</v>
      </c>
      <c r="I202" s="115">
        <f>给排水!F115</f>
        <v>20</v>
      </c>
      <c r="J202" s="134"/>
      <c r="K202" s="114" t="str">
        <f>给排水!H115</f>
        <v>注：表中土石方量仅供参考，以现场实际开挖量为准。</v>
      </c>
    </row>
    <row r="203" s="98" customFormat="1" ht="36" customHeight="1" spans="1:11">
      <c r="A203" s="112">
        <v>2.3</v>
      </c>
      <c r="B203" s="110" t="s">
        <v>57</v>
      </c>
      <c r="C203" s="111">
        <f>SUM(C204:C206)</f>
        <v>21</v>
      </c>
      <c r="D203" s="111"/>
      <c r="E203" s="111"/>
      <c r="F203" s="111">
        <f t="shared" si="26"/>
        <v>21</v>
      </c>
      <c r="G203" s="111" t="s">
        <v>49</v>
      </c>
      <c r="H203" s="111">
        <f>H204</f>
        <v>100</v>
      </c>
      <c r="I203" s="128">
        <f>C203/H203*10000</f>
        <v>2100</v>
      </c>
      <c r="J203" s="134"/>
      <c r="K203" s="133"/>
    </row>
    <row r="204" s="98" customFormat="1" ht="36" customHeight="1" spans="1:11">
      <c r="A204" s="113" t="s">
        <v>141</v>
      </c>
      <c r="B204" s="116" t="str">
        <f>给排水!C116</f>
        <v>管道疏浚</v>
      </c>
      <c r="C204" s="108">
        <f t="shared" ref="C204:C207" si="29">H204*I204/10000</f>
        <v>2</v>
      </c>
      <c r="D204" s="108"/>
      <c r="E204" s="108"/>
      <c r="F204" s="108">
        <f t="shared" si="26"/>
        <v>2</v>
      </c>
      <c r="G204" s="108" t="str">
        <f>给排水!E116</f>
        <v>m</v>
      </c>
      <c r="H204" s="108">
        <f>给排水!D116</f>
        <v>100</v>
      </c>
      <c r="I204" s="115">
        <f>给排水!F116</f>
        <v>200</v>
      </c>
      <c r="J204" s="134"/>
      <c r="K204" s="114" t="str">
        <f>给排水!H116</f>
        <v>原d1000雨污合流管道</v>
      </c>
    </row>
    <row r="205" s="98" customFormat="1" ht="36" customHeight="1" spans="1:11">
      <c r="A205" s="113" t="s">
        <v>142</v>
      </c>
      <c r="B205" s="116" t="str">
        <f>给排水!C117</f>
        <v>废除封堵</v>
      </c>
      <c r="C205" s="108">
        <f t="shared" si="29"/>
        <v>4</v>
      </c>
      <c r="D205" s="108"/>
      <c r="E205" s="108"/>
      <c r="F205" s="108">
        <f t="shared" si="26"/>
        <v>4</v>
      </c>
      <c r="G205" s="108" t="str">
        <f>给排水!E117</f>
        <v>处</v>
      </c>
      <c r="H205" s="108">
        <f>给排水!D117</f>
        <v>8</v>
      </c>
      <c r="I205" s="115">
        <f>给排水!F117</f>
        <v>5000</v>
      </c>
      <c r="J205" s="134"/>
      <c r="K205" s="133"/>
    </row>
    <row r="206" s="98" customFormat="1" ht="36" customHeight="1" spans="1:11">
      <c r="A206" s="113" t="s">
        <v>143</v>
      </c>
      <c r="B206" s="116" t="str">
        <f>给排水!C118</f>
        <v>管线迁改</v>
      </c>
      <c r="C206" s="108">
        <f t="shared" si="29"/>
        <v>15</v>
      </c>
      <c r="D206" s="108"/>
      <c r="E206" s="108"/>
      <c r="F206" s="108">
        <f t="shared" si="26"/>
        <v>15</v>
      </c>
      <c r="G206" s="108" t="str">
        <f>给排水!E118</f>
        <v>项</v>
      </c>
      <c r="H206" s="108">
        <f>给排水!D118</f>
        <v>1</v>
      </c>
      <c r="I206" s="115">
        <f>给排水!F118</f>
        <v>150000</v>
      </c>
      <c r="J206" s="134"/>
      <c r="K206" s="133"/>
    </row>
    <row r="207" s="98" customFormat="1" ht="26" customHeight="1" spans="1:11">
      <c r="A207" s="112">
        <v>3</v>
      </c>
      <c r="B207" s="110" t="s">
        <v>58</v>
      </c>
      <c r="C207" s="111">
        <f t="shared" si="29"/>
        <v>30.9577755911982</v>
      </c>
      <c r="D207" s="111"/>
      <c r="E207" s="111"/>
      <c r="F207" s="111">
        <f t="shared" si="26"/>
        <v>30.9577755911982</v>
      </c>
      <c r="G207" s="111" t="s">
        <v>59</v>
      </c>
      <c r="H207" s="111">
        <v>1</v>
      </c>
      <c r="I207" s="128">
        <f>R12</f>
        <v>309577.755911982</v>
      </c>
      <c r="J207" s="132"/>
      <c r="K207" s="133"/>
    </row>
    <row r="208" s="97" customFormat="1" ht="18" customHeight="1" spans="1:11">
      <c r="A208" s="109" t="s">
        <v>68</v>
      </c>
      <c r="B208" s="110" t="s">
        <v>14</v>
      </c>
      <c r="C208" s="111">
        <f>C209+C218+C229</f>
        <v>542.291656722876</v>
      </c>
      <c r="D208" s="111"/>
      <c r="E208" s="111"/>
      <c r="F208" s="111">
        <f t="shared" si="26"/>
        <v>542.291656722876</v>
      </c>
      <c r="G208" s="111" t="s">
        <v>49</v>
      </c>
      <c r="H208" s="111">
        <f>H218</f>
        <v>1080</v>
      </c>
      <c r="I208" s="111">
        <f>F208/H208*10000</f>
        <v>5021.21904373033</v>
      </c>
      <c r="J208" s="126"/>
      <c r="K208" s="123"/>
    </row>
    <row r="209" s="97" customFormat="1" spans="1:11">
      <c r="A209" s="112">
        <v>1</v>
      </c>
      <c r="B209" s="110" t="s">
        <v>51</v>
      </c>
      <c r="C209" s="111">
        <f>SUM(C210:C217)</f>
        <v>332.7952</v>
      </c>
      <c r="D209" s="111"/>
      <c r="E209" s="111"/>
      <c r="F209" s="111">
        <f t="shared" si="26"/>
        <v>332.7952</v>
      </c>
      <c r="G209" s="111" t="s">
        <v>52</v>
      </c>
      <c r="H209" s="111">
        <f>H217</f>
        <v>7481.2</v>
      </c>
      <c r="I209" s="128">
        <f>F209/H209*10000</f>
        <v>444.842003956585</v>
      </c>
      <c r="J209" s="126"/>
      <c r="K209" s="123"/>
    </row>
    <row r="210" s="97" customFormat="1" ht="48" customHeight="1" spans="1:11">
      <c r="A210" s="113">
        <v>1.1</v>
      </c>
      <c r="B210" s="116" t="str">
        <f>道路!B80</f>
        <v>路面破除</v>
      </c>
      <c r="C210" s="108">
        <f t="shared" ref="C210:C217" si="30">I210*H210/10000</f>
        <v>25.4408</v>
      </c>
      <c r="D210" s="108"/>
      <c r="E210" s="108"/>
      <c r="F210" s="108">
        <f t="shared" si="26"/>
        <v>25.4408</v>
      </c>
      <c r="G210" s="108" t="str">
        <f>道路!C80</f>
        <v>m2</v>
      </c>
      <c r="H210" s="108">
        <f>道路!D80</f>
        <v>5192</v>
      </c>
      <c r="I210" s="129">
        <f>道路!E80</f>
        <v>49</v>
      </c>
      <c r="J210" s="126"/>
      <c r="K210" s="114" t="str">
        <f>道路!G80</f>
        <v>厚度按0.64m</v>
      </c>
    </row>
    <row r="211" s="97" customFormat="1" ht="107" customHeight="1" spans="1:11">
      <c r="A211" s="113">
        <v>1.2</v>
      </c>
      <c r="B211" s="116" t="str">
        <f>道路!B81</f>
        <v>路面恢复</v>
      </c>
      <c r="C211" s="108">
        <f t="shared" si="30"/>
        <v>217.0256</v>
      </c>
      <c r="D211" s="108"/>
      <c r="E211" s="108"/>
      <c r="F211" s="108">
        <f t="shared" si="26"/>
        <v>217.0256</v>
      </c>
      <c r="G211" s="108" t="str">
        <f>道路!C81</f>
        <v>m2</v>
      </c>
      <c r="H211" s="108">
        <f>道路!D81</f>
        <v>5192</v>
      </c>
      <c r="I211" s="129">
        <f>道路!E81</f>
        <v>418</v>
      </c>
      <c r="J211" s="131"/>
      <c r="K211" s="114" t="str">
        <f>道路!G81</f>
        <v>4cm 细粒式沥青砼(AC-13C，4%SBS 改性)+改性乳化沥青粘层油0.3~0.6L/m2+6cm沥青混凝土AC-20C下面层+18cmC30砼基层+18cmC20砼底基层+18cm水泥石灰综合稳定土(2:10:88，厂拌)</v>
      </c>
    </row>
    <row r="212" s="97" customFormat="1" ht="36" customHeight="1" spans="1:11">
      <c r="A212" s="113">
        <v>1.3</v>
      </c>
      <c r="B212" s="116" t="str">
        <f>道路!B82</f>
        <v>机制C30砼路缘石15x40x100cm</v>
      </c>
      <c r="C212" s="108">
        <f t="shared" si="30"/>
        <v>7.788</v>
      </c>
      <c r="D212" s="108"/>
      <c r="E212" s="108"/>
      <c r="F212" s="108">
        <f t="shared" si="26"/>
        <v>7.788</v>
      </c>
      <c r="G212" s="108" t="str">
        <f>道路!C82</f>
        <v>m</v>
      </c>
      <c r="H212" s="108">
        <f>道路!D82</f>
        <v>1038.4</v>
      </c>
      <c r="I212" s="129">
        <f>道路!E82</f>
        <v>75</v>
      </c>
      <c r="J212" s="131"/>
      <c r="K212" s="114"/>
    </row>
    <row r="213" s="97" customFormat="1" ht="38" customHeight="1" spans="1:11">
      <c r="A213" s="113">
        <v>1.4</v>
      </c>
      <c r="B213" s="116" t="str">
        <f>道路!B83</f>
        <v>人行道破除</v>
      </c>
      <c r="C213" s="108">
        <f t="shared" si="30"/>
        <v>6.2304</v>
      </c>
      <c r="D213" s="108"/>
      <c r="E213" s="108"/>
      <c r="F213" s="108">
        <f t="shared" si="26"/>
        <v>6.2304</v>
      </c>
      <c r="G213" s="108" t="str">
        <f>道路!C83</f>
        <v>m2</v>
      </c>
      <c r="H213" s="108">
        <f>道路!D83</f>
        <v>2076.8</v>
      </c>
      <c r="I213" s="129">
        <f>道路!E83</f>
        <v>30</v>
      </c>
      <c r="J213" s="131"/>
      <c r="K213" s="114"/>
    </row>
    <row r="214" s="97" customFormat="1" ht="36" spans="1:11">
      <c r="A214" s="113">
        <v>1.5</v>
      </c>
      <c r="B214" s="116" t="str">
        <f>道路!B84</f>
        <v>人行道恢复</v>
      </c>
      <c r="C214" s="108">
        <f t="shared" si="30"/>
        <v>34.2672</v>
      </c>
      <c r="D214" s="108"/>
      <c r="E214" s="108"/>
      <c r="F214" s="108">
        <f t="shared" si="26"/>
        <v>34.2672</v>
      </c>
      <c r="G214" s="108" t="str">
        <f>道路!C84</f>
        <v>m2</v>
      </c>
      <c r="H214" s="108">
        <f>道路!D84</f>
        <v>2076.8</v>
      </c>
      <c r="I214" s="129">
        <f>道路!E84</f>
        <v>165</v>
      </c>
      <c r="J214" s="131"/>
      <c r="K214" s="114" t="str">
        <f>道路!G84</f>
        <v>6cm 厚砂基透水砖+3cm 厚 M10 干硬性水泥砂浆+15cm厚C20透水混凝土+15cm 厚级配碎石</v>
      </c>
    </row>
    <row r="215" s="97" customFormat="1" ht="25" customHeight="1" spans="1:11">
      <c r="A215" s="113">
        <v>1.6</v>
      </c>
      <c r="B215" s="116" t="str">
        <f>道路!B85</f>
        <v>标线恢复</v>
      </c>
      <c r="C215" s="108">
        <f t="shared" si="30"/>
        <v>0.6372</v>
      </c>
      <c r="D215" s="108"/>
      <c r="E215" s="108"/>
      <c r="F215" s="108">
        <f t="shared" si="26"/>
        <v>0.6372</v>
      </c>
      <c r="G215" s="108" t="str">
        <f>道路!C85</f>
        <v>m2</v>
      </c>
      <c r="H215" s="108">
        <f>道路!D85</f>
        <v>212.4</v>
      </c>
      <c r="I215" s="129">
        <f>道路!E85</f>
        <v>30</v>
      </c>
      <c r="J215" s="131"/>
      <c r="K215" s="114"/>
    </row>
    <row r="216" s="97" customFormat="1" ht="20" customHeight="1" spans="1:11">
      <c r="A216" s="113">
        <v>1.7</v>
      </c>
      <c r="B216" s="116" t="str">
        <f>道路!B86</f>
        <v>行道树迁移及恢复</v>
      </c>
      <c r="C216" s="108">
        <f t="shared" si="30"/>
        <v>4</v>
      </c>
      <c r="D216" s="108"/>
      <c r="E216" s="108"/>
      <c r="F216" s="108">
        <f t="shared" si="26"/>
        <v>4</v>
      </c>
      <c r="G216" s="108" t="str">
        <f>道路!C86</f>
        <v>棵</v>
      </c>
      <c r="H216" s="108">
        <f>道路!D86</f>
        <v>50</v>
      </c>
      <c r="I216" s="129">
        <f>道路!E86</f>
        <v>800</v>
      </c>
      <c r="J216" s="131"/>
      <c r="K216" s="114"/>
    </row>
    <row r="217" s="97" customFormat="1" ht="20" customHeight="1" spans="1:11">
      <c r="A217" s="113">
        <v>1.8</v>
      </c>
      <c r="B217" s="116" t="str">
        <f>道路!B87</f>
        <v>施工措施项目费</v>
      </c>
      <c r="C217" s="108">
        <f t="shared" si="30"/>
        <v>37.406</v>
      </c>
      <c r="D217" s="108"/>
      <c r="E217" s="108"/>
      <c r="F217" s="108">
        <f t="shared" si="26"/>
        <v>37.406</v>
      </c>
      <c r="G217" s="108" t="str">
        <f>道路!C87</f>
        <v>m2</v>
      </c>
      <c r="H217" s="108">
        <f>道路!D87</f>
        <v>7481.2</v>
      </c>
      <c r="I217" s="129">
        <f>道路!E87</f>
        <v>50</v>
      </c>
      <c r="J217" s="131"/>
      <c r="K217" s="114"/>
    </row>
    <row r="218" s="98" customFormat="1" ht="32" customHeight="1" spans="1:11">
      <c r="A218" s="112">
        <v>2</v>
      </c>
      <c r="B218" s="110" t="s">
        <v>53</v>
      </c>
      <c r="C218" s="111">
        <f>C219+C220+C225</f>
        <v>185.24</v>
      </c>
      <c r="D218" s="111"/>
      <c r="E218" s="111"/>
      <c r="F218" s="111">
        <f t="shared" si="26"/>
        <v>185.24</v>
      </c>
      <c r="G218" s="111" t="s">
        <v>49</v>
      </c>
      <c r="H218" s="111">
        <f>H219+H220+H225</f>
        <v>1080</v>
      </c>
      <c r="I218" s="128">
        <f>F218/H218*10000</f>
        <v>1715.18518518518</v>
      </c>
      <c r="J218" s="132"/>
      <c r="K218" s="133"/>
    </row>
    <row r="219" s="98" customFormat="1" ht="33" customHeight="1" spans="1:11">
      <c r="A219" s="112">
        <v>2.1</v>
      </c>
      <c r="B219" s="110" t="s">
        <v>55</v>
      </c>
      <c r="C219" s="111">
        <f>H219*I219/10000</f>
        <v>0</v>
      </c>
      <c r="D219" s="111"/>
      <c r="E219" s="111"/>
      <c r="F219" s="111">
        <f t="shared" si="26"/>
        <v>0</v>
      </c>
      <c r="G219" s="111" t="s">
        <v>49</v>
      </c>
      <c r="H219" s="111"/>
      <c r="I219" s="128"/>
      <c r="J219" s="132"/>
      <c r="K219" s="133"/>
    </row>
    <row r="220" s="98" customFormat="1" ht="39" customHeight="1" spans="1:11">
      <c r="A220" s="112">
        <v>2.2</v>
      </c>
      <c r="B220" s="110" t="s">
        <v>56</v>
      </c>
      <c r="C220" s="111">
        <f>SUM(C221:C224)</f>
        <v>165.64</v>
      </c>
      <c r="D220" s="111"/>
      <c r="E220" s="111"/>
      <c r="F220" s="111">
        <f t="shared" si="26"/>
        <v>165.64</v>
      </c>
      <c r="G220" s="111" t="s">
        <v>49</v>
      </c>
      <c r="H220" s="111">
        <f>H221</f>
        <v>900</v>
      </c>
      <c r="I220" s="128">
        <f>F220/H220*10000</f>
        <v>1840.44444444444</v>
      </c>
      <c r="J220" s="134"/>
      <c r="K220" s="133"/>
    </row>
    <row r="221" s="97" customFormat="1" ht="43" customHeight="1" spans="1:11">
      <c r="A221" s="113" t="s">
        <v>136</v>
      </c>
      <c r="B221" s="116" t="str">
        <f>给排水!C122</f>
        <v>新型钢带增强聚乙烯螺旋波纹管d400</v>
      </c>
      <c r="C221" s="108">
        <f t="shared" ref="C221:C224" si="31">I221*H221/10000</f>
        <v>18</v>
      </c>
      <c r="D221" s="108"/>
      <c r="E221" s="108"/>
      <c r="F221" s="108">
        <f t="shared" si="26"/>
        <v>18</v>
      </c>
      <c r="G221" s="108" t="str">
        <f>给排水!E122</f>
        <v>m</v>
      </c>
      <c r="H221" s="108">
        <f>给排水!D122</f>
        <v>900</v>
      </c>
      <c r="I221" s="115">
        <f>给排水!F122</f>
        <v>200</v>
      </c>
      <c r="J221" s="131"/>
      <c r="K221" s="114" t="str">
        <f>给排水!H122</f>
        <v>环刚度≥8KN/m2</v>
      </c>
    </row>
    <row r="222" s="97" customFormat="1" ht="43" customHeight="1" spans="1:11">
      <c r="A222" s="113" t="s">
        <v>137</v>
      </c>
      <c r="B222" s="116" t="str">
        <f>给排水!C123</f>
        <v>污水检查井</v>
      </c>
      <c r="C222" s="108">
        <f t="shared" si="31"/>
        <v>25</v>
      </c>
      <c r="D222" s="108"/>
      <c r="E222" s="108"/>
      <c r="F222" s="108">
        <f t="shared" si="26"/>
        <v>25</v>
      </c>
      <c r="G222" s="108" t="str">
        <f>给排水!E123</f>
        <v>座</v>
      </c>
      <c r="H222" s="108">
        <f>给排水!D123</f>
        <v>25</v>
      </c>
      <c r="I222" s="115">
        <f>给排水!F123</f>
        <v>10000</v>
      </c>
      <c r="J222" s="131"/>
      <c r="K222" s="114" t="str">
        <f>给排水!H123</f>
        <v>钢筋混凝土检查井，详见图集04S531-5-P15</v>
      </c>
    </row>
    <row r="223" s="97" customFormat="1" ht="43" customHeight="1" spans="1:11">
      <c r="A223" s="113" t="s">
        <v>138</v>
      </c>
      <c r="B223" s="116" t="str">
        <f>给排水!C124</f>
        <v>挖方</v>
      </c>
      <c r="C223" s="108">
        <f t="shared" si="31"/>
        <v>101.64</v>
      </c>
      <c r="D223" s="108"/>
      <c r="E223" s="108"/>
      <c r="F223" s="108">
        <f t="shared" si="26"/>
        <v>101.64</v>
      </c>
      <c r="G223" s="108" t="str">
        <f>给排水!E124</f>
        <v>m3</v>
      </c>
      <c r="H223" s="108">
        <f>给排水!D124</f>
        <v>11340</v>
      </c>
      <c r="I223" s="115">
        <f>给排水!F124</f>
        <v>89.6296296296296</v>
      </c>
      <c r="J223" s="131"/>
      <c r="K223" s="114" t="str">
        <f>给排水!H124</f>
        <v>注：表中土石方量仅供参考，以现场实际开挖量为准。</v>
      </c>
    </row>
    <row r="224" s="97" customFormat="1" ht="43" customHeight="1" spans="1:11">
      <c r="A224" s="113" t="s">
        <v>139</v>
      </c>
      <c r="B224" s="116" t="str">
        <f>给排水!C125</f>
        <v>填方</v>
      </c>
      <c r="C224" s="108">
        <f t="shared" si="31"/>
        <v>21</v>
      </c>
      <c r="D224" s="108"/>
      <c r="E224" s="108"/>
      <c r="F224" s="108">
        <f t="shared" si="26"/>
        <v>21</v>
      </c>
      <c r="G224" s="108" t="str">
        <f>给排水!E125</f>
        <v>m3</v>
      </c>
      <c r="H224" s="108">
        <f>给排水!D125</f>
        <v>10500</v>
      </c>
      <c r="I224" s="115">
        <f>给排水!F125</f>
        <v>20</v>
      </c>
      <c r="J224" s="131"/>
      <c r="K224" s="114" t="str">
        <f>给排水!H125</f>
        <v>注：表中土石方量仅供参考，以现场实际开挖量为准。</v>
      </c>
    </row>
    <row r="225" s="98" customFormat="1" ht="36" customHeight="1" spans="1:11">
      <c r="A225" s="112">
        <v>2.3</v>
      </c>
      <c r="B225" s="110" t="s">
        <v>57</v>
      </c>
      <c r="C225" s="111">
        <f>SUM(C226:C228)</f>
        <v>19.6</v>
      </c>
      <c r="D225" s="111"/>
      <c r="E225" s="111"/>
      <c r="F225" s="111">
        <f t="shared" si="26"/>
        <v>19.6</v>
      </c>
      <c r="G225" s="111" t="s">
        <v>49</v>
      </c>
      <c r="H225" s="111">
        <f>H226</f>
        <v>180</v>
      </c>
      <c r="I225" s="128">
        <f>C225/H225*10000</f>
        <v>1088.88888888889</v>
      </c>
      <c r="J225" s="134"/>
      <c r="K225" s="133"/>
    </row>
    <row r="226" s="98" customFormat="1" ht="36" customHeight="1" spans="1:11">
      <c r="A226" s="113" t="s">
        <v>141</v>
      </c>
      <c r="B226" s="116" t="str">
        <f>给排水!C126</f>
        <v>管道疏浚</v>
      </c>
      <c r="C226" s="108">
        <f t="shared" ref="C226:C230" si="32">H226*I226/10000</f>
        <v>3.6</v>
      </c>
      <c r="D226" s="108"/>
      <c r="E226" s="108"/>
      <c r="F226" s="108">
        <f t="shared" si="26"/>
        <v>3.6</v>
      </c>
      <c r="G226" s="108" t="str">
        <f>给排水!E126</f>
        <v>m</v>
      </c>
      <c r="H226" s="108">
        <f>给排水!D126</f>
        <v>180</v>
      </c>
      <c r="I226" s="115">
        <f>给排水!F126</f>
        <v>200</v>
      </c>
      <c r="J226" s="134"/>
      <c r="K226" s="114" t="str">
        <f>给排水!H126</f>
        <v>原d1000雨污合流管道</v>
      </c>
    </row>
    <row r="227" s="98" customFormat="1" ht="36" customHeight="1" spans="1:11">
      <c r="A227" s="113" t="s">
        <v>142</v>
      </c>
      <c r="B227" s="116" t="str">
        <f>给排水!C127</f>
        <v>废除封堵</v>
      </c>
      <c r="C227" s="108">
        <f t="shared" si="32"/>
        <v>6</v>
      </c>
      <c r="D227" s="108"/>
      <c r="E227" s="108"/>
      <c r="F227" s="108">
        <f t="shared" si="26"/>
        <v>6</v>
      </c>
      <c r="G227" s="108" t="str">
        <f>给排水!E127</f>
        <v>处</v>
      </c>
      <c r="H227" s="108">
        <f>给排水!D127</f>
        <v>12</v>
      </c>
      <c r="I227" s="115">
        <f>给排水!F127</f>
        <v>5000</v>
      </c>
      <c r="J227" s="134"/>
      <c r="K227" s="133"/>
    </row>
    <row r="228" s="98" customFormat="1" ht="36" customHeight="1" spans="1:11">
      <c r="A228" s="113" t="s">
        <v>143</v>
      </c>
      <c r="B228" s="116" t="str">
        <f>给排水!C128</f>
        <v>管线迁改</v>
      </c>
      <c r="C228" s="108">
        <f t="shared" si="32"/>
        <v>10</v>
      </c>
      <c r="D228" s="108"/>
      <c r="E228" s="108"/>
      <c r="F228" s="108">
        <f t="shared" si="26"/>
        <v>10</v>
      </c>
      <c r="G228" s="108" t="str">
        <f>给排水!E128</f>
        <v>项</v>
      </c>
      <c r="H228" s="108">
        <f>给排水!D128</f>
        <v>1</v>
      </c>
      <c r="I228" s="115">
        <f>给排水!F128</f>
        <v>100000</v>
      </c>
      <c r="J228" s="134"/>
      <c r="K228" s="133"/>
    </row>
    <row r="229" s="98" customFormat="1" ht="26" customHeight="1" spans="1:11">
      <c r="A229" s="112">
        <v>3</v>
      </c>
      <c r="B229" s="110" t="s">
        <v>58</v>
      </c>
      <c r="C229" s="111">
        <f t="shared" si="32"/>
        <v>24.2564567228759</v>
      </c>
      <c r="D229" s="111"/>
      <c r="E229" s="111"/>
      <c r="F229" s="111">
        <f t="shared" si="26"/>
        <v>24.2564567228759</v>
      </c>
      <c r="G229" s="111" t="s">
        <v>59</v>
      </c>
      <c r="H229" s="111">
        <v>1</v>
      </c>
      <c r="I229" s="111">
        <f>S12</f>
        <v>242564.567228759</v>
      </c>
      <c r="J229" s="132"/>
      <c r="K229" s="133"/>
    </row>
    <row r="230" s="97" customFormat="1" ht="18" customHeight="1" spans="1:11">
      <c r="A230" s="109" t="s">
        <v>69</v>
      </c>
      <c r="B230" s="110" t="s">
        <v>15</v>
      </c>
      <c r="C230" s="111">
        <f t="shared" si="32"/>
        <v>180</v>
      </c>
      <c r="D230" s="111"/>
      <c r="E230" s="111"/>
      <c r="F230" s="111">
        <f t="shared" si="26"/>
        <v>180</v>
      </c>
      <c r="G230" s="111" t="s">
        <v>59</v>
      </c>
      <c r="H230" s="111">
        <v>1</v>
      </c>
      <c r="I230" s="111">
        <v>1800000</v>
      </c>
      <c r="J230" s="126"/>
      <c r="K230" s="123"/>
    </row>
    <row r="231" s="97" customFormat="1" spans="1:15">
      <c r="A231" s="112" t="s">
        <v>17</v>
      </c>
      <c r="B231" s="135" t="s">
        <v>18</v>
      </c>
      <c r="C231" s="108"/>
      <c r="D231" s="111"/>
      <c r="E231" s="111">
        <f>SUM(E232:E246)-E234</f>
        <v>1491.66053701693</v>
      </c>
      <c r="F231" s="111">
        <f t="shared" ref="F231:F246" si="33">C231+E231</f>
        <v>1491.66053701693</v>
      </c>
      <c r="G231" s="111" t="s">
        <v>52</v>
      </c>
      <c r="H231" s="136"/>
      <c r="I231" s="136"/>
      <c r="J231" s="124">
        <f>F231/F251</f>
        <v>0.0965639542530356</v>
      </c>
      <c r="K231" s="123"/>
      <c r="N231" s="97">
        <v>12156</v>
      </c>
      <c r="O231" s="97">
        <v>10156</v>
      </c>
    </row>
    <row r="232" s="97" customFormat="1" ht="30" customHeight="1" spans="1:11">
      <c r="A232" s="113">
        <v>1</v>
      </c>
      <c r="B232" s="116" t="s">
        <v>19</v>
      </c>
      <c r="C232" s="137"/>
      <c r="D232" s="137"/>
      <c r="E232" s="108">
        <f>157.33*0.8*$M$6</f>
        <v>175.310206408867</v>
      </c>
      <c r="F232" s="108">
        <f t="shared" si="33"/>
        <v>175.310206408867</v>
      </c>
      <c r="G232" s="108"/>
      <c r="H232" s="108"/>
      <c r="I232" s="108"/>
      <c r="J232" s="121"/>
      <c r="K232" s="114" t="s">
        <v>72</v>
      </c>
    </row>
    <row r="233" s="97" customFormat="1" ht="37" customHeight="1" spans="1:11">
      <c r="A233" s="113">
        <v>2</v>
      </c>
      <c r="B233" s="116" t="s">
        <v>20</v>
      </c>
      <c r="C233" s="137"/>
      <c r="D233" s="137"/>
      <c r="E233" s="108">
        <f>87.39*$M$6</f>
        <v>121.721532273492</v>
      </c>
      <c r="F233" s="108">
        <f t="shared" si="33"/>
        <v>121.721532273492</v>
      </c>
      <c r="G233" s="137"/>
      <c r="H233" s="108"/>
      <c r="I233" s="108"/>
      <c r="J233" s="121"/>
      <c r="K233" s="114" t="s">
        <v>73</v>
      </c>
    </row>
    <row r="234" s="97" customFormat="1" ht="24" customHeight="1" spans="1:11">
      <c r="A234" s="113">
        <v>3</v>
      </c>
      <c r="B234" s="116" t="s">
        <v>21</v>
      </c>
      <c r="C234" s="137"/>
      <c r="D234" s="137"/>
      <c r="E234" s="108">
        <f>298.95*$M$6*0.8</f>
        <v>333.115020694913</v>
      </c>
      <c r="F234" s="108">
        <f t="shared" si="33"/>
        <v>333.115020694913</v>
      </c>
      <c r="G234" s="108"/>
      <c r="H234" s="108"/>
      <c r="I234" s="108"/>
      <c r="J234" s="121"/>
      <c r="K234" s="114" t="s">
        <v>74</v>
      </c>
    </row>
    <row r="235" s="97" customFormat="1" spans="1:11">
      <c r="A235" s="113">
        <v>3.1</v>
      </c>
      <c r="B235" s="116" t="s">
        <v>75</v>
      </c>
      <c r="C235" s="137"/>
      <c r="D235" s="137"/>
      <c r="E235" s="108">
        <f>E234*45%</f>
        <v>149.901759312711</v>
      </c>
      <c r="F235" s="108">
        <f t="shared" si="33"/>
        <v>149.901759312711</v>
      </c>
      <c r="G235" s="108"/>
      <c r="H235" s="108"/>
      <c r="I235" s="108"/>
      <c r="J235" s="121"/>
      <c r="K235" s="114" t="s">
        <v>76</v>
      </c>
    </row>
    <row r="236" s="97" customFormat="1" ht="13" customHeight="1" spans="1:11">
      <c r="A236" s="113">
        <v>3.2</v>
      </c>
      <c r="B236" s="116" t="s">
        <v>77</v>
      </c>
      <c r="C236" s="137"/>
      <c r="D236" s="137"/>
      <c r="E236" s="108">
        <f>E234*55%</f>
        <v>183.213261382202</v>
      </c>
      <c r="F236" s="108">
        <f t="shared" si="33"/>
        <v>183.213261382202</v>
      </c>
      <c r="G236" s="108"/>
      <c r="H236" s="108"/>
      <c r="I236" s="108"/>
      <c r="J236" s="121"/>
      <c r="K236" s="114" t="s">
        <v>78</v>
      </c>
    </row>
    <row r="237" s="97" customFormat="1" spans="1:11">
      <c r="A237" s="113">
        <v>4</v>
      </c>
      <c r="B237" s="116" t="s">
        <v>22</v>
      </c>
      <c r="C237" s="137"/>
      <c r="D237" s="137"/>
      <c r="E237" s="108">
        <f>111.39*$M$6*0.8</f>
        <v>124.120027279499</v>
      </c>
      <c r="F237" s="108">
        <f t="shared" si="33"/>
        <v>124.120027279499</v>
      </c>
      <c r="G237" s="108"/>
      <c r="H237" s="108"/>
      <c r="I237" s="108"/>
      <c r="J237" s="121"/>
      <c r="K237" s="114" t="s">
        <v>79</v>
      </c>
    </row>
    <row r="238" s="97" customFormat="1" ht="24" spans="1:12">
      <c r="A238" s="113">
        <v>5</v>
      </c>
      <c r="B238" s="116" t="s">
        <v>23</v>
      </c>
      <c r="C238" s="137"/>
      <c r="D238" s="137"/>
      <c r="E238" s="108">
        <f>191.78*$M$6*0.8</f>
        <v>213.697269338921</v>
      </c>
      <c r="F238" s="108">
        <f t="shared" si="33"/>
        <v>213.697269338921</v>
      </c>
      <c r="G238" s="137"/>
      <c r="H238" s="108"/>
      <c r="I238" s="108"/>
      <c r="J238" s="121"/>
      <c r="K238" s="114" t="s">
        <v>80</v>
      </c>
      <c r="L238" s="144"/>
    </row>
    <row r="239" s="97" customFormat="1" spans="1:11">
      <c r="A239" s="113">
        <v>6</v>
      </c>
      <c r="B239" s="116" t="s">
        <v>24</v>
      </c>
      <c r="C239" s="137"/>
      <c r="D239" s="137"/>
      <c r="E239" s="108">
        <f>28.95*$M$6</f>
        <v>40.32313032747</v>
      </c>
      <c r="F239" s="108">
        <f t="shared" si="33"/>
        <v>40.32313032747</v>
      </c>
      <c r="G239" s="137"/>
      <c r="H239" s="108"/>
      <c r="I239" s="108"/>
      <c r="J239" s="145"/>
      <c r="K239" s="114" t="s">
        <v>81</v>
      </c>
    </row>
    <row r="240" s="97" customFormat="1" ht="24" spans="1:12">
      <c r="A240" s="113">
        <v>7</v>
      </c>
      <c r="B240" s="116" t="s">
        <v>25</v>
      </c>
      <c r="C240" s="137"/>
      <c r="D240" s="137"/>
      <c r="E240" s="108">
        <f>80.39*$M$6*0.6</f>
        <v>67.1829315445661</v>
      </c>
      <c r="F240" s="108">
        <f t="shared" si="33"/>
        <v>67.1829315445661</v>
      </c>
      <c r="G240" s="137"/>
      <c r="H240" s="108"/>
      <c r="I240" s="108"/>
      <c r="J240" s="121"/>
      <c r="K240" s="114" t="s">
        <v>82</v>
      </c>
      <c r="L240" s="144"/>
    </row>
    <row r="241" s="97" customFormat="1" spans="1:11">
      <c r="A241" s="113">
        <v>8</v>
      </c>
      <c r="B241" s="116" t="s">
        <v>26</v>
      </c>
      <c r="C241" s="137"/>
      <c r="D241" s="137"/>
      <c r="E241" s="108">
        <f>C5*1%</f>
        <v>128.114733247692</v>
      </c>
      <c r="F241" s="108">
        <f t="shared" si="33"/>
        <v>128.114733247692</v>
      </c>
      <c r="G241" s="137"/>
      <c r="H241" s="108"/>
      <c r="I241" s="108"/>
      <c r="J241" s="121"/>
      <c r="K241" s="114" t="s">
        <v>155</v>
      </c>
    </row>
    <row r="242" s="97" customFormat="1" spans="1:11">
      <c r="A242" s="113">
        <v>9</v>
      </c>
      <c r="B242" s="116" t="s">
        <v>27</v>
      </c>
      <c r="C242" s="137"/>
      <c r="D242" s="137"/>
      <c r="E242" s="108">
        <f>C5*0.4%</f>
        <v>51.2458932990769</v>
      </c>
      <c r="F242" s="108">
        <f t="shared" si="33"/>
        <v>51.2458932990769</v>
      </c>
      <c r="G242" s="137"/>
      <c r="H242" s="108"/>
      <c r="I242" s="108"/>
      <c r="J242" s="121"/>
      <c r="K242" s="114" t="s">
        <v>156</v>
      </c>
    </row>
    <row r="243" s="97" customFormat="1" ht="24" spans="1:11">
      <c r="A243" s="113">
        <v>10</v>
      </c>
      <c r="B243" s="116" t="s">
        <v>28</v>
      </c>
      <c r="C243" s="137"/>
      <c r="D243" s="137"/>
      <c r="E243" s="108">
        <f>180*0.6*$M$6</f>
        <v>150.428258216468</v>
      </c>
      <c r="F243" s="108">
        <f t="shared" si="33"/>
        <v>150.428258216468</v>
      </c>
      <c r="G243" s="137"/>
      <c r="H243" s="108"/>
      <c r="I243" s="108"/>
      <c r="J243" s="121"/>
      <c r="K243" s="114" t="s">
        <v>85</v>
      </c>
    </row>
    <row r="244" s="97" customFormat="1" spans="1:11">
      <c r="A244" s="113">
        <v>11</v>
      </c>
      <c r="B244" s="116" t="s">
        <v>29</v>
      </c>
      <c r="C244" s="137"/>
      <c r="D244" s="137"/>
      <c r="E244" s="108">
        <f>C5*0.4%</f>
        <v>51.2458932990769</v>
      </c>
      <c r="F244" s="108">
        <f t="shared" si="33"/>
        <v>51.2458932990769</v>
      </c>
      <c r="G244" s="137"/>
      <c r="H244" s="108"/>
      <c r="I244" s="108"/>
      <c r="J244" s="121"/>
      <c r="K244" s="114" t="s">
        <v>87</v>
      </c>
    </row>
    <row r="245" s="97" customFormat="1" spans="1:11">
      <c r="A245" s="113">
        <v>12</v>
      </c>
      <c r="B245" s="116" t="s">
        <v>30</v>
      </c>
      <c r="C245" s="137"/>
      <c r="D245" s="137"/>
      <c r="E245" s="108">
        <f>20.24*$M$6</f>
        <v>28.1913698731604</v>
      </c>
      <c r="F245" s="108">
        <f t="shared" si="33"/>
        <v>28.1913698731604</v>
      </c>
      <c r="G245" s="137"/>
      <c r="H245" s="108"/>
      <c r="I245" s="108"/>
      <c r="J245" s="121"/>
      <c r="K245" s="114" t="s">
        <v>87</v>
      </c>
    </row>
    <row r="246" s="97" customFormat="1" spans="1:11">
      <c r="A246" s="113">
        <v>14</v>
      </c>
      <c r="B246" s="116" t="s">
        <v>31</v>
      </c>
      <c r="C246" s="137"/>
      <c r="D246" s="137"/>
      <c r="E246" s="108">
        <f>5*$M$6</f>
        <v>6.96427121372539</v>
      </c>
      <c r="F246" s="108">
        <f t="shared" si="33"/>
        <v>6.96427121372539</v>
      </c>
      <c r="G246" s="137"/>
      <c r="H246" s="108"/>
      <c r="I246" s="108"/>
      <c r="J246" s="121"/>
      <c r="K246" s="114" t="s">
        <v>88</v>
      </c>
    </row>
    <row r="247" s="97" customFormat="1" spans="1:11">
      <c r="A247" s="112" t="s">
        <v>32</v>
      </c>
      <c r="B247" s="110" t="s">
        <v>4</v>
      </c>
      <c r="C247" s="138"/>
      <c r="D247" s="138"/>
      <c r="E247" s="111">
        <f>E248+E249</f>
        <v>1144.25070894289</v>
      </c>
      <c r="F247" s="111">
        <f>E247</f>
        <v>1144.25070894289</v>
      </c>
      <c r="G247" s="138"/>
      <c r="H247" s="111"/>
      <c r="I247" s="111"/>
      <c r="J247" s="124">
        <f>F247/F251</f>
        <v>0.0740740740740741</v>
      </c>
      <c r="K247" s="123"/>
    </row>
    <row r="248" s="97" customFormat="1" spans="1:11">
      <c r="A248" s="113">
        <v>1</v>
      </c>
      <c r="B248" s="116" t="s">
        <v>89</v>
      </c>
      <c r="C248" s="137"/>
      <c r="D248" s="137"/>
      <c r="E248" s="108">
        <f>(F5+F231)*8%</f>
        <v>1144.25070894289</v>
      </c>
      <c r="F248" s="108">
        <f>C248+E248</f>
        <v>1144.25070894289</v>
      </c>
      <c r="G248" s="137"/>
      <c r="H248" s="108"/>
      <c r="I248" s="137"/>
      <c r="J248" s="145"/>
      <c r="K248" s="114" t="s">
        <v>157</v>
      </c>
    </row>
    <row r="249" s="97" customFormat="1" spans="1:11">
      <c r="A249" s="113">
        <v>2</v>
      </c>
      <c r="B249" s="116" t="s">
        <v>91</v>
      </c>
      <c r="C249" s="137"/>
      <c r="D249" s="137"/>
      <c r="E249" s="108">
        <v>0</v>
      </c>
      <c r="F249" s="108"/>
      <c r="G249" s="137"/>
      <c r="H249" s="108"/>
      <c r="I249" s="137"/>
      <c r="J249" s="145"/>
      <c r="K249" s="123"/>
    </row>
    <row r="250" s="97" customFormat="1" spans="1:11">
      <c r="A250" s="112" t="s">
        <v>33</v>
      </c>
      <c r="B250" s="110" t="s">
        <v>92</v>
      </c>
      <c r="C250" s="138"/>
      <c r="D250" s="138"/>
      <c r="E250" s="111">
        <v>0</v>
      </c>
      <c r="F250" s="111"/>
      <c r="G250" s="138"/>
      <c r="H250" s="111"/>
      <c r="I250" s="111"/>
      <c r="J250" s="124"/>
      <c r="K250" s="123"/>
    </row>
    <row r="251" s="97" customFormat="1" ht="15" spans="1:11">
      <c r="A251" s="139"/>
      <c r="B251" s="140" t="s">
        <v>34</v>
      </c>
      <c r="C251" s="141"/>
      <c r="D251" s="141"/>
      <c r="E251" s="141"/>
      <c r="F251" s="141">
        <f>F5+F231+F247+F250</f>
        <v>15447.3845707291</v>
      </c>
      <c r="G251" s="142"/>
      <c r="H251" s="142"/>
      <c r="I251" s="146"/>
      <c r="J251" s="147">
        <f>F251/F251</f>
        <v>1</v>
      </c>
      <c r="K251" s="123"/>
    </row>
    <row r="252" spans="6:6">
      <c r="F252" s="143">
        <v>13503.56209056</v>
      </c>
    </row>
    <row r="253" spans="6:6">
      <c r="F253" s="143">
        <f>F252-F251</f>
        <v>-1943.82248016905</v>
      </c>
    </row>
  </sheetData>
  <autoFilter xmlns:etc="http://www.wps.cn/officeDocument/2017/etCustomData" ref="A4:O253" etc:filterBottomFollowUsedRange="0">
    <extLst/>
  </autoFilter>
  <mergeCells count="7">
    <mergeCell ref="A1:K1"/>
    <mergeCell ref="C2:F2"/>
    <mergeCell ref="G2:I2"/>
    <mergeCell ref="A2:A3"/>
    <mergeCell ref="B2:B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B2:M130"/>
  <sheetViews>
    <sheetView workbookViewId="0">
      <selection activeCell="F6" sqref="F6"/>
    </sheetView>
  </sheetViews>
  <sheetFormatPr defaultColWidth="9.55833333333333" defaultRowHeight="16.05" customHeight="1"/>
  <cols>
    <col min="1" max="1" width="8.06666666666667" style="66" customWidth="1"/>
    <col min="2" max="2" width="12.9583333333333" style="66" customWidth="1"/>
    <col min="3" max="3" width="44.0666666666667" style="66" customWidth="1"/>
    <col min="4" max="4" width="16.0333333333333" style="67" customWidth="1"/>
    <col min="5" max="5" width="11.0416666666667" style="67"/>
    <col min="6" max="6" width="12.4166666666667" style="68"/>
    <col min="7" max="7" width="11.0416666666667" style="68"/>
    <col min="8" max="8" width="53.2" style="66" customWidth="1"/>
    <col min="9" max="9" width="15.2916666666667" style="66" customWidth="1"/>
    <col min="10" max="10" width="9.66666666666667" style="66"/>
    <col min="11" max="11" width="17.525" style="66" customWidth="1"/>
    <col min="12" max="13" width="9.55833333333333" style="66"/>
    <col min="14" max="14" width="22.725" style="66" customWidth="1"/>
    <col min="15" max="16384" width="9.55833333333333" style="66"/>
  </cols>
  <sheetData>
    <row r="2" s="66" customFormat="1" customHeight="1" spans="2:8">
      <c r="B2" s="69" t="s">
        <v>158</v>
      </c>
      <c r="C2" s="70"/>
      <c r="D2" s="69"/>
      <c r="E2" s="69"/>
      <c r="F2" s="69"/>
      <c r="G2" s="69"/>
      <c r="H2" s="69"/>
    </row>
    <row r="3" s="66" customFormat="1" customHeight="1" spans="2:8">
      <c r="B3" s="70" t="s">
        <v>159</v>
      </c>
      <c r="C3" s="69" t="s">
        <v>93</v>
      </c>
      <c r="D3" s="69" t="s">
        <v>47</v>
      </c>
      <c r="E3" s="71" t="s">
        <v>46</v>
      </c>
      <c r="F3" s="71" t="s">
        <v>160</v>
      </c>
      <c r="G3" s="71" t="s">
        <v>122</v>
      </c>
      <c r="H3" s="70" t="s">
        <v>41</v>
      </c>
    </row>
    <row r="4" s="66" customFormat="1" customHeight="1" spans="2:8">
      <c r="B4" s="72" t="s">
        <v>161</v>
      </c>
      <c r="C4" s="73" t="s">
        <v>162</v>
      </c>
      <c r="D4" s="74">
        <v>1400</v>
      </c>
      <c r="E4" s="75" t="s">
        <v>49</v>
      </c>
      <c r="F4" s="75">
        <v>140</v>
      </c>
      <c r="G4" s="75">
        <f>D4*F4</f>
        <v>196000</v>
      </c>
      <c r="H4" s="73" t="s">
        <v>163</v>
      </c>
    </row>
    <row r="5" s="66" customFormat="1" customHeight="1" spans="2:10">
      <c r="B5" s="72"/>
      <c r="C5" s="76" t="s">
        <v>164</v>
      </c>
      <c r="D5" s="77">
        <v>260</v>
      </c>
      <c r="E5" s="78" t="s">
        <v>49</v>
      </c>
      <c r="F5" s="78">
        <v>563</v>
      </c>
      <c r="G5" s="75">
        <f t="shared" ref="G5:G20" si="0">D5*F5</f>
        <v>146380</v>
      </c>
      <c r="H5" s="76" t="s">
        <v>165</v>
      </c>
      <c r="J5" s="66">
        <f t="shared" ref="J5:J7" si="1">D5*(2*2.8+1.6+1.6)*2.8/2</f>
        <v>3203.2</v>
      </c>
    </row>
    <row r="6" s="66" customFormat="1" customHeight="1" spans="2:11">
      <c r="B6" s="72"/>
      <c r="C6" s="73" t="s">
        <v>166</v>
      </c>
      <c r="D6" s="77">
        <v>450</v>
      </c>
      <c r="E6" s="75" t="s">
        <v>49</v>
      </c>
      <c r="F6" s="75">
        <v>980</v>
      </c>
      <c r="G6" s="75">
        <f t="shared" si="0"/>
        <v>441000</v>
      </c>
      <c r="H6" s="73"/>
      <c r="J6" s="66">
        <f t="shared" si="1"/>
        <v>5544</v>
      </c>
      <c r="K6" s="92">
        <f>3.14*0.5*0.5*D6</f>
        <v>353.25</v>
      </c>
    </row>
    <row r="7" s="66" customFormat="1" customHeight="1" spans="2:11">
      <c r="B7" s="72"/>
      <c r="C7" s="73" t="s">
        <v>167</v>
      </c>
      <c r="D7" s="77">
        <v>720</v>
      </c>
      <c r="E7" s="75" t="s">
        <v>49</v>
      </c>
      <c r="F7" s="75">
        <v>1280</v>
      </c>
      <c r="G7" s="75">
        <f t="shared" si="0"/>
        <v>921600</v>
      </c>
      <c r="H7" s="73"/>
      <c r="J7" s="66">
        <f t="shared" si="1"/>
        <v>8870.4</v>
      </c>
      <c r="K7" s="92">
        <f>3.14*0.6*0.6*D7</f>
        <v>813.888</v>
      </c>
    </row>
    <row r="8" s="66" customFormat="1" customHeight="1" spans="2:11">
      <c r="B8" s="72"/>
      <c r="C8" s="73" t="s">
        <v>168</v>
      </c>
      <c r="D8" s="74">
        <v>12</v>
      </c>
      <c r="E8" s="75" t="s">
        <v>49</v>
      </c>
      <c r="F8" s="75">
        <v>1945</v>
      </c>
      <c r="G8" s="75">
        <f t="shared" si="0"/>
        <v>23340</v>
      </c>
      <c r="H8" s="73"/>
      <c r="K8" s="92"/>
    </row>
    <row r="9" s="66" customFormat="1" customHeight="1" spans="2:8">
      <c r="B9" s="72"/>
      <c r="C9" s="73" t="s">
        <v>169</v>
      </c>
      <c r="D9" s="74">
        <v>60</v>
      </c>
      <c r="E9" s="75" t="s">
        <v>170</v>
      </c>
      <c r="F9" s="75">
        <v>8000</v>
      </c>
      <c r="G9" s="75">
        <f t="shared" si="0"/>
        <v>480000</v>
      </c>
      <c r="H9" s="79" t="s">
        <v>171</v>
      </c>
    </row>
    <row r="10" s="66" customFormat="1" customHeight="1" spans="2:8">
      <c r="B10" s="72"/>
      <c r="C10" s="73" t="s">
        <v>172</v>
      </c>
      <c r="D10" s="74">
        <v>80</v>
      </c>
      <c r="E10" s="75" t="s">
        <v>170</v>
      </c>
      <c r="F10" s="75">
        <v>1100</v>
      </c>
      <c r="G10" s="75">
        <f t="shared" si="0"/>
        <v>88000</v>
      </c>
      <c r="H10" s="73" t="s">
        <v>173</v>
      </c>
    </row>
    <row r="11" s="66" customFormat="1" customHeight="1" spans="2:11">
      <c r="B11" s="72"/>
      <c r="C11" s="73" t="s">
        <v>174</v>
      </c>
      <c r="D11" s="74">
        <v>17620</v>
      </c>
      <c r="E11" s="75" t="s">
        <v>175</v>
      </c>
      <c r="F11" s="80">
        <f>(D11*80+(D11-D12)*130)/D11</f>
        <v>91.9523269012486</v>
      </c>
      <c r="G11" s="75">
        <f t="shared" si="0"/>
        <v>1620200</v>
      </c>
      <c r="H11" s="73" t="s">
        <v>176</v>
      </c>
      <c r="J11" s="66">
        <f>SUM(J5:J7)</f>
        <v>17617.6</v>
      </c>
      <c r="K11" s="66">
        <f>SUM(K6:K7)</f>
        <v>1167.138</v>
      </c>
    </row>
    <row r="12" s="66" customFormat="1" customHeight="1" spans="2:8">
      <c r="B12" s="72"/>
      <c r="C12" s="73" t="s">
        <v>177</v>
      </c>
      <c r="D12" s="74">
        <v>16000</v>
      </c>
      <c r="E12" s="75" t="s">
        <v>175</v>
      </c>
      <c r="F12" s="75">
        <v>20</v>
      </c>
      <c r="G12" s="75">
        <f t="shared" si="0"/>
        <v>320000</v>
      </c>
      <c r="H12" s="81" t="s">
        <v>176</v>
      </c>
    </row>
    <row r="13" s="66" customFormat="1" customHeight="1" spans="2:11">
      <c r="B13" s="82" t="s">
        <v>178</v>
      </c>
      <c r="C13" s="83" t="s">
        <v>179</v>
      </c>
      <c r="D13" s="78">
        <v>2250</v>
      </c>
      <c r="E13" s="82" t="s">
        <v>49</v>
      </c>
      <c r="F13" s="82">
        <v>200</v>
      </c>
      <c r="G13" s="75">
        <f t="shared" si="0"/>
        <v>450000</v>
      </c>
      <c r="H13" s="83" t="s">
        <v>180</v>
      </c>
      <c r="J13" s="67">
        <f>D13*(2*3+1.2+1.2)*3/2</f>
        <v>28350</v>
      </c>
      <c r="K13" s="67">
        <f>3.14*0.25*0.25*D13</f>
        <v>441.5625</v>
      </c>
    </row>
    <row r="14" s="66" customFormat="1" customHeight="1" spans="2:11">
      <c r="B14" s="82"/>
      <c r="C14" s="84" t="s">
        <v>181</v>
      </c>
      <c r="D14" s="82">
        <v>700</v>
      </c>
      <c r="E14" s="75" t="s">
        <v>49</v>
      </c>
      <c r="F14" s="75">
        <v>240</v>
      </c>
      <c r="G14" s="75">
        <f t="shared" si="0"/>
        <v>168000</v>
      </c>
      <c r="H14" s="84" t="s">
        <v>180</v>
      </c>
      <c r="J14" s="67">
        <f>D14*(2*3+1.2+1.2)*3/2</f>
        <v>8820</v>
      </c>
      <c r="K14" s="67">
        <f>3.14*0.25*0.25*D14</f>
        <v>137.375</v>
      </c>
    </row>
    <row r="15" s="66" customFormat="1" customHeight="1" spans="2:8">
      <c r="B15" s="82"/>
      <c r="C15" s="83" t="s">
        <v>182</v>
      </c>
      <c r="D15" s="78">
        <v>112</v>
      </c>
      <c r="E15" s="78" t="s">
        <v>170</v>
      </c>
      <c r="F15" s="78">
        <v>10000</v>
      </c>
      <c r="G15" s="75">
        <f t="shared" si="0"/>
        <v>1120000</v>
      </c>
      <c r="H15" s="79" t="s">
        <v>183</v>
      </c>
    </row>
    <row r="16" s="66" customFormat="1" customHeight="1" spans="2:8">
      <c r="B16" s="82"/>
      <c r="C16" s="83" t="s">
        <v>174</v>
      </c>
      <c r="D16" s="78">
        <v>37170</v>
      </c>
      <c r="E16" s="82" t="s">
        <v>175</v>
      </c>
      <c r="F16" s="80">
        <f>(D16*80+(D16-D17)*130)/D16</f>
        <v>87.0648372343288</v>
      </c>
      <c r="G16" s="75">
        <f t="shared" si="0"/>
        <v>3236200</v>
      </c>
      <c r="H16" s="83" t="s">
        <v>176</v>
      </c>
    </row>
    <row r="17" s="66" customFormat="1" customHeight="1" spans="2:11">
      <c r="B17" s="82"/>
      <c r="C17" s="83" t="s">
        <v>177</v>
      </c>
      <c r="D17" s="78">
        <v>35150</v>
      </c>
      <c r="E17" s="82" t="s">
        <v>175</v>
      </c>
      <c r="F17" s="75">
        <v>20</v>
      </c>
      <c r="G17" s="75">
        <f t="shared" si="0"/>
        <v>703000</v>
      </c>
      <c r="H17" s="83" t="s">
        <v>176</v>
      </c>
      <c r="J17" s="66">
        <f>J13+J14</f>
        <v>37170</v>
      </c>
      <c r="K17" s="66">
        <f>K13+K14</f>
        <v>578.9375</v>
      </c>
    </row>
    <row r="18" s="66" customFormat="1" customHeight="1" spans="2:8">
      <c r="B18" s="82"/>
      <c r="C18" s="72" t="s">
        <v>184</v>
      </c>
      <c r="D18" s="78">
        <v>300</v>
      </c>
      <c r="E18" s="82" t="s">
        <v>49</v>
      </c>
      <c r="F18" s="82">
        <v>200</v>
      </c>
      <c r="G18" s="75">
        <f t="shared" si="0"/>
        <v>60000</v>
      </c>
      <c r="H18" s="83" t="s">
        <v>185</v>
      </c>
    </row>
    <row r="19" s="66" customFormat="1" customHeight="1" spans="2:8">
      <c r="B19" s="82"/>
      <c r="C19" s="72" t="s">
        <v>186</v>
      </c>
      <c r="D19" s="78">
        <v>15</v>
      </c>
      <c r="E19" s="82" t="s">
        <v>71</v>
      </c>
      <c r="F19" s="82">
        <v>5000</v>
      </c>
      <c r="G19" s="75">
        <f t="shared" si="0"/>
        <v>75000</v>
      </c>
      <c r="H19" s="83"/>
    </row>
    <row r="20" s="66" customFormat="1" customHeight="1" spans="2:8">
      <c r="B20" s="82"/>
      <c r="C20" s="72" t="s">
        <v>187</v>
      </c>
      <c r="D20" s="78">
        <v>1</v>
      </c>
      <c r="E20" s="82" t="s">
        <v>59</v>
      </c>
      <c r="F20" s="82">
        <v>200000</v>
      </c>
      <c r="G20" s="75">
        <f t="shared" si="0"/>
        <v>200000</v>
      </c>
      <c r="H20" s="83"/>
    </row>
    <row r="21" s="66" customFormat="1" customHeight="1" spans="2:8">
      <c r="B21" s="85"/>
      <c r="C21" s="86"/>
      <c r="D21" s="87"/>
      <c r="E21" s="88"/>
      <c r="F21" s="88"/>
      <c r="G21" s="88"/>
      <c r="H21" s="89"/>
    </row>
    <row r="22" s="66" customFormat="1" customHeight="1" spans="2:8">
      <c r="B22" s="69" t="s">
        <v>188</v>
      </c>
      <c r="C22" s="69"/>
      <c r="D22" s="69"/>
      <c r="E22" s="69"/>
      <c r="F22" s="69"/>
      <c r="G22" s="69"/>
      <c r="H22" s="69"/>
    </row>
    <row r="23" s="66" customFormat="1" customHeight="1" spans="2:8">
      <c r="B23" s="70" t="s">
        <v>159</v>
      </c>
      <c r="C23" s="69" t="s">
        <v>93</v>
      </c>
      <c r="D23" s="69" t="s">
        <v>47</v>
      </c>
      <c r="E23" s="71" t="s">
        <v>46</v>
      </c>
      <c r="F23" s="71" t="s">
        <v>160</v>
      </c>
      <c r="G23" s="71" t="s">
        <v>122</v>
      </c>
      <c r="H23" s="70" t="s">
        <v>41</v>
      </c>
    </row>
    <row r="24" s="66" customFormat="1" customHeight="1" spans="2:8">
      <c r="B24" s="72" t="s">
        <v>161</v>
      </c>
      <c r="C24" s="73" t="s">
        <v>162</v>
      </c>
      <c r="D24" s="77">
        <v>135</v>
      </c>
      <c r="E24" s="75" t="s">
        <v>49</v>
      </c>
      <c r="F24" s="75">
        <v>140</v>
      </c>
      <c r="G24" s="75">
        <f t="shared" ref="G24:G30" si="2">D24*F24</f>
        <v>18900</v>
      </c>
      <c r="H24" s="73" t="s">
        <v>163</v>
      </c>
    </row>
    <row r="25" s="66" customFormat="1" customHeight="1" spans="2:11">
      <c r="B25" s="72"/>
      <c r="C25" s="76" t="s">
        <v>164</v>
      </c>
      <c r="D25" s="77">
        <v>60</v>
      </c>
      <c r="E25" s="78" t="s">
        <v>49</v>
      </c>
      <c r="F25" s="78">
        <v>563</v>
      </c>
      <c r="G25" s="75">
        <f t="shared" si="2"/>
        <v>33780</v>
      </c>
      <c r="H25" s="76" t="s">
        <v>165</v>
      </c>
      <c r="J25" s="66">
        <f>D25*(2*3.2+1.8+1.8)*3.2/2</f>
        <v>960</v>
      </c>
      <c r="K25" s="66">
        <f>3.14*0.75*0.75*D25</f>
        <v>105.975</v>
      </c>
    </row>
    <row r="26" s="66" customFormat="1" customHeight="1" spans="2:11">
      <c r="B26" s="72"/>
      <c r="C26" s="73" t="s">
        <v>167</v>
      </c>
      <c r="D26" s="77">
        <v>240</v>
      </c>
      <c r="E26" s="75" t="s">
        <v>49</v>
      </c>
      <c r="F26" s="75">
        <v>1280</v>
      </c>
      <c r="G26" s="75">
        <f t="shared" si="2"/>
        <v>307200</v>
      </c>
      <c r="H26" s="73"/>
      <c r="J26" s="66">
        <f>D26*(2*3.2+1.8+1.8)*3.2/2</f>
        <v>3840</v>
      </c>
      <c r="K26" s="66">
        <f>3.14*0.75*0.75*D26</f>
        <v>423.9</v>
      </c>
    </row>
    <row r="27" s="66" customFormat="1" customHeight="1" spans="2:8">
      <c r="B27" s="72"/>
      <c r="C27" s="73" t="s">
        <v>169</v>
      </c>
      <c r="D27" s="77">
        <v>11</v>
      </c>
      <c r="E27" s="75" t="s">
        <v>170</v>
      </c>
      <c r="F27" s="75">
        <v>8000</v>
      </c>
      <c r="G27" s="75">
        <f t="shared" si="2"/>
        <v>88000</v>
      </c>
      <c r="H27" s="76" t="s">
        <v>171</v>
      </c>
    </row>
    <row r="28" s="66" customFormat="1" customHeight="1" spans="2:8">
      <c r="B28" s="72"/>
      <c r="C28" s="73" t="s">
        <v>172</v>
      </c>
      <c r="D28" s="77">
        <v>20</v>
      </c>
      <c r="E28" s="75" t="s">
        <v>170</v>
      </c>
      <c r="F28" s="75">
        <v>1100</v>
      </c>
      <c r="G28" s="75">
        <f t="shared" si="2"/>
        <v>22000</v>
      </c>
      <c r="H28" s="73" t="s">
        <v>173</v>
      </c>
    </row>
    <row r="29" s="66" customFormat="1" customHeight="1" spans="2:11">
      <c r="B29" s="72"/>
      <c r="C29" s="83" t="s">
        <v>174</v>
      </c>
      <c r="D29" s="77">
        <v>4800</v>
      </c>
      <c r="E29" s="75" t="s">
        <v>175</v>
      </c>
      <c r="F29" s="80">
        <f>(D29*80+(D29-D30)*130)/D29</f>
        <v>93.5416666666667</v>
      </c>
      <c r="G29" s="75">
        <f t="shared" si="2"/>
        <v>449000</v>
      </c>
      <c r="H29" s="73" t="s">
        <v>176</v>
      </c>
      <c r="J29" s="66" t="e">
        <f>J25+J26+#REF!+#REF!</f>
        <v>#REF!</v>
      </c>
      <c r="K29" s="66" t="e">
        <f>K25+K26+#REF!+#REF!</f>
        <v>#REF!</v>
      </c>
    </row>
    <row r="30" s="66" customFormat="1" customHeight="1" spans="2:8">
      <c r="B30" s="72"/>
      <c r="C30" s="83" t="s">
        <v>177</v>
      </c>
      <c r="D30" s="77">
        <v>4300</v>
      </c>
      <c r="E30" s="75" t="s">
        <v>175</v>
      </c>
      <c r="F30" s="75">
        <v>20</v>
      </c>
      <c r="G30" s="75">
        <f t="shared" si="2"/>
        <v>86000</v>
      </c>
      <c r="H30" s="81" t="s">
        <v>176</v>
      </c>
    </row>
    <row r="31" s="66" customFormat="1" customHeight="1" spans="2:11">
      <c r="B31" s="82" t="s">
        <v>178</v>
      </c>
      <c r="C31" s="83" t="s">
        <v>179</v>
      </c>
      <c r="D31" s="82">
        <v>2150</v>
      </c>
      <c r="E31" s="82" t="s">
        <v>49</v>
      </c>
      <c r="F31" s="82">
        <v>200</v>
      </c>
      <c r="G31" s="75">
        <f t="shared" ref="G31:G37" si="3">D31*F31</f>
        <v>430000</v>
      </c>
      <c r="H31" s="83" t="s">
        <v>180</v>
      </c>
      <c r="J31" s="67">
        <f>D31*(2*3+1.2+1.2)*3/2</f>
        <v>27090</v>
      </c>
      <c r="K31" s="67">
        <f>3.14*0.25*0.25*D31</f>
        <v>421.9375</v>
      </c>
    </row>
    <row r="32" s="66" customFormat="1" customHeight="1" spans="2:8">
      <c r="B32" s="82"/>
      <c r="C32" s="83" t="s">
        <v>182</v>
      </c>
      <c r="D32" s="82">
        <v>62</v>
      </c>
      <c r="E32" s="82" t="s">
        <v>170</v>
      </c>
      <c r="F32" s="78">
        <v>10000</v>
      </c>
      <c r="G32" s="75">
        <f t="shared" si="3"/>
        <v>620000</v>
      </c>
      <c r="H32" s="79" t="s">
        <v>183</v>
      </c>
    </row>
    <row r="33" s="66" customFormat="1" customHeight="1" spans="2:8">
      <c r="B33" s="82"/>
      <c r="C33" s="83" t="s">
        <v>174</v>
      </c>
      <c r="D33" s="82">
        <v>27090</v>
      </c>
      <c r="E33" s="82" t="s">
        <v>175</v>
      </c>
      <c r="F33" s="80">
        <f>(D33*80+(D33-D34)*130)/D33</f>
        <v>82.8313030638612</v>
      </c>
      <c r="G33" s="75">
        <f t="shared" si="3"/>
        <v>2243900</v>
      </c>
      <c r="H33" s="72" t="s">
        <v>176</v>
      </c>
    </row>
    <row r="34" s="66" customFormat="1" customHeight="1" spans="2:8">
      <c r="B34" s="82"/>
      <c r="C34" s="83" t="s">
        <v>177</v>
      </c>
      <c r="D34" s="82">
        <v>26500</v>
      </c>
      <c r="E34" s="82" t="s">
        <v>175</v>
      </c>
      <c r="F34" s="75">
        <v>20</v>
      </c>
      <c r="G34" s="75">
        <f t="shared" si="3"/>
        <v>530000</v>
      </c>
      <c r="H34" s="72" t="s">
        <v>176</v>
      </c>
    </row>
    <row r="35" s="66" customFormat="1" customHeight="1" spans="2:8">
      <c r="B35" s="82"/>
      <c r="C35" s="72" t="s">
        <v>184</v>
      </c>
      <c r="D35" s="78">
        <v>360</v>
      </c>
      <c r="E35" s="82" t="s">
        <v>49</v>
      </c>
      <c r="F35" s="82">
        <v>200</v>
      </c>
      <c r="G35" s="75">
        <f t="shared" si="3"/>
        <v>72000</v>
      </c>
      <c r="H35" s="83" t="s">
        <v>189</v>
      </c>
    </row>
    <row r="36" s="66" customFormat="1" customHeight="1" spans="2:8">
      <c r="B36" s="82"/>
      <c r="C36" s="72" t="s">
        <v>186</v>
      </c>
      <c r="D36" s="78">
        <v>15</v>
      </c>
      <c r="E36" s="82" t="s">
        <v>71</v>
      </c>
      <c r="F36" s="82">
        <v>5000</v>
      </c>
      <c r="G36" s="75">
        <f t="shared" si="3"/>
        <v>75000</v>
      </c>
      <c r="H36" s="83"/>
    </row>
    <row r="37" s="66" customFormat="1" customHeight="1" spans="2:8">
      <c r="B37" s="90"/>
      <c r="C37" s="72" t="s">
        <v>187</v>
      </c>
      <c r="D37" s="78">
        <v>1</v>
      </c>
      <c r="E37" s="82" t="s">
        <v>59</v>
      </c>
      <c r="F37" s="82">
        <v>200000</v>
      </c>
      <c r="G37" s="75">
        <f t="shared" si="3"/>
        <v>200000</v>
      </c>
      <c r="H37" s="72"/>
    </row>
    <row r="38" s="66" customFormat="1" customHeight="1" spans="2:8">
      <c r="B38" s="69" t="s">
        <v>190</v>
      </c>
      <c r="C38" s="69"/>
      <c r="D38" s="69"/>
      <c r="E38" s="69"/>
      <c r="F38" s="69"/>
      <c r="G38" s="69"/>
      <c r="H38" s="69"/>
    </row>
    <row r="39" s="66" customFormat="1" customHeight="1" spans="2:8">
      <c r="B39" s="70" t="s">
        <v>159</v>
      </c>
      <c r="C39" s="69" t="s">
        <v>93</v>
      </c>
      <c r="D39" s="69" t="s">
        <v>47</v>
      </c>
      <c r="E39" s="71" t="s">
        <v>46</v>
      </c>
      <c r="F39" s="71" t="s">
        <v>160</v>
      </c>
      <c r="G39" s="71" t="s">
        <v>122</v>
      </c>
      <c r="H39" s="70" t="s">
        <v>41</v>
      </c>
    </row>
    <row r="40" s="66" customFormat="1" customHeight="1" spans="2:8">
      <c r="B40" s="72" t="s">
        <v>161</v>
      </c>
      <c r="C40" s="73" t="s">
        <v>162</v>
      </c>
      <c r="D40" s="74">
        <v>1100</v>
      </c>
      <c r="E40" s="75" t="s">
        <v>49</v>
      </c>
      <c r="F40" s="75">
        <v>140</v>
      </c>
      <c r="G40" s="75">
        <f>D40*F40</f>
        <v>154000</v>
      </c>
      <c r="H40" s="73" t="s">
        <v>163</v>
      </c>
    </row>
    <row r="41" s="66" customFormat="1" customHeight="1" spans="2:11">
      <c r="B41" s="72"/>
      <c r="C41" s="76" t="s">
        <v>164</v>
      </c>
      <c r="D41" s="77">
        <v>275</v>
      </c>
      <c r="E41" s="78" t="s">
        <v>49</v>
      </c>
      <c r="F41" s="78">
        <v>563</v>
      </c>
      <c r="G41" s="75">
        <f t="shared" ref="G41:G56" si="4">D41*F41</f>
        <v>154825</v>
      </c>
      <c r="H41" s="76" t="s">
        <v>165</v>
      </c>
      <c r="J41" s="66">
        <f>D41*(2*3.2+1.8+1.8)*3.2/2</f>
        <v>4400</v>
      </c>
      <c r="K41" s="66">
        <f t="shared" ref="K41:K43" si="5">3.14*0.75*0.75*D41</f>
        <v>485.71875</v>
      </c>
    </row>
    <row r="42" s="66" customFormat="1" customHeight="1" spans="2:11">
      <c r="B42" s="72"/>
      <c r="C42" s="73" t="s">
        <v>167</v>
      </c>
      <c r="D42" s="77">
        <v>280</v>
      </c>
      <c r="E42" s="75" t="s">
        <v>49</v>
      </c>
      <c r="F42" s="75">
        <v>1280</v>
      </c>
      <c r="G42" s="75">
        <f t="shared" si="4"/>
        <v>358400</v>
      </c>
      <c r="H42" s="73"/>
      <c r="J42" s="66">
        <f>D42*(2*3.2+1.8+1.8)*3.2/2</f>
        <v>4480</v>
      </c>
      <c r="K42" s="66">
        <f t="shared" si="5"/>
        <v>494.55</v>
      </c>
    </row>
    <row r="43" s="66" customFormat="1" customHeight="1" spans="2:11">
      <c r="B43" s="72"/>
      <c r="C43" s="73" t="s">
        <v>168</v>
      </c>
      <c r="D43" s="77">
        <v>700</v>
      </c>
      <c r="E43" s="75" t="s">
        <v>49</v>
      </c>
      <c r="F43" s="75">
        <v>1945</v>
      </c>
      <c r="G43" s="75">
        <f t="shared" si="4"/>
        <v>1361500</v>
      </c>
      <c r="H43" s="73"/>
      <c r="J43" s="66">
        <f>D43*(2*4+2+2)*4/2</f>
        <v>16800</v>
      </c>
      <c r="K43" s="66">
        <f t="shared" si="5"/>
        <v>1236.375</v>
      </c>
    </row>
    <row r="44" s="66" customFormat="1" customHeight="1" spans="2:11">
      <c r="B44" s="72"/>
      <c r="C44" s="73" t="s">
        <v>191</v>
      </c>
      <c r="D44" s="77">
        <v>635</v>
      </c>
      <c r="E44" s="75" t="s">
        <v>49</v>
      </c>
      <c r="F44" s="75">
        <v>2465</v>
      </c>
      <c r="G44" s="75">
        <f t="shared" si="4"/>
        <v>1565275</v>
      </c>
      <c r="H44" s="73"/>
      <c r="J44" s="66">
        <f>D44*(2*4+2+2)*4/2</f>
        <v>15240</v>
      </c>
      <c r="K44" s="66">
        <f>3.14*0.9*0.9*D44</f>
        <v>1615.059</v>
      </c>
    </row>
    <row r="45" s="66" customFormat="1" customHeight="1" spans="2:8">
      <c r="B45" s="72"/>
      <c r="C45" s="73" t="s">
        <v>169</v>
      </c>
      <c r="D45" s="77">
        <v>80</v>
      </c>
      <c r="E45" s="75" t="s">
        <v>170</v>
      </c>
      <c r="F45" s="75">
        <v>8000</v>
      </c>
      <c r="G45" s="75">
        <f t="shared" si="4"/>
        <v>640000</v>
      </c>
      <c r="H45" s="76" t="s">
        <v>171</v>
      </c>
    </row>
    <row r="46" s="66" customFormat="1" customHeight="1" spans="2:8">
      <c r="B46" s="72"/>
      <c r="C46" s="73" t="s">
        <v>172</v>
      </c>
      <c r="D46" s="74">
        <v>120</v>
      </c>
      <c r="E46" s="75" t="s">
        <v>170</v>
      </c>
      <c r="F46" s="75">
        <v>1100</v>
      </c>
      <c r="G46" s="75">
        <f t="shared" si="4"/>
        <v>132000</v>
      </c>
      <c r="H46" s="73" t="s">
        <v>173</v>
      </c>
    </row>
    <row r="47" s="66" customFormat="1" customHeight="1" spans="2:11">
      <c r="B47" s="72"/>
      <c r="C47" s="83" t="s">
        <v>174</v>
      </c>
      <c r="D47" s="74">
        <v>40920</v>
      </c>
      <c r="E47" s="75" t="s">
        <v>175</v>
      </c>
      <c r="F47" s="80">
        <f>(D47*80+(D47-D48)*130)/D47</f>
        <v>92.4535679374389</v>
      </c>
      <c r="G47" s="75">
        <f t="shared" si="4"/>
        <v>3783200</v>
      </c>
      <c r="H47" s="73" t="s">
        <v>176</v>
      </c>
      <c r="J47" s="66">
        <f>J41+J42+J43+J44</f>
        <v>40920</v>
      </c>
      <c r="K47" s="66">
        <f>K41+K42+K43+K44</f>
        <v>3831.70275</v>
      </c>
    </row>
    <row r="48" s="66" customFormat="1" customHeight="1" spans="2:8">
      <c r="B48" s="72"/>
      <c r="C48" s="83" t="s">
        <v>177</v>
      </c>
      <c r="D48" s="74">
        <v>37000</v>
      </c>
      <c r="E48" s="75" t="s">
        <v>175</v>
      </c>
      <c r="F48" s="75">
        <v>20</v>
      </c>
      <c r="G48" s="75">
        <f t="shared" si="4"/>
        <v>740000</v>
      </c>
      <c r="H48" s="81" t="s">
        <v>176</v>
      </c>
    </row>
    <row r="49" s="66" customFormat="1" customHeight="1" spans="2:11">
      <c r="B49" s="82" t="s">
        <v>178</v>
      </c>
      <c r="C49" s="84" t="s">
        <v>179</v>
      </c>
      <c r="D49" s="78">
        <v>630</v>
      </c>
      <c r="E49" s="75" t="s">
        <v>49</v>
      </c>
      <c r="F49" s="82">
        <v>200</v>
      </c>
      <c r="G49" s="75">
        <f t="shared" ref="G49:G53" si="6">D49*F49</f>
        <v>126000</v>
      </c>
      <c r="H49" s="91" t="s">
        <v>192</v>
      </c>
      <c r="J49" s="67"/>
      <c r="K49" s="67"/>
    </row>
    <row r="50" s="66" customFormat="1" customHeight="1" spans="2:11">
      <c r="B50" s="82"/>
      <c r="C50" s="84" t="s">
        <v>181</v>
      </c>
      <c r="D50" s="82">
        <v>1650</v>
      </c>
      <c r="E50" s="75" t="s">
        <v>49</v>
      </c>
      <c r="F50" s="75">
        <v>240</v>
      </c>
      <c r="G50" s="75">
        <f t="shared" si="6"/>
        <v>396000</v>
      </c>
      <c r="H50" s="84" t="s">
        <v>180</v>
      </c>
      <c r="J50" s="67"/>
      <c r="K50" s="67"/>
    </row>
    <row r="51" s="66" customFormat="1" customHeight="1" spans="2:8">
      <c r="B51" s="82"/>
      <c r="C51" s="84" t="s">
        <v>182</v>
      </c>
      <c r="D51" s="78">
        <v>85</v>
      </c>
      <c r="E51" s="78" t="s">
        <v>170</v>
      </c>
      <c r="F51" s="78">
        <v>10000</v>
      </c>
      <c r="G51" s="75">
        <f t="shared" si="6"/>
        <v>850000</v>
      </c>
      <c r="H51" s="79" t="s">
        <v>183</v>
      </c>
    </row>
    <row r="52" s="66" customFormat="1" customHeight="1" spans="2:8">
      <c r="B52" s="82"/>
      <c r="C52" s="83" t="s">
        <v>174</v>
      </c>
      <c r="D52" s="82">
        <v>26460</v>
      </c>
      <c r="E52" s="75" t="s">
        <v>175</v>
      </c>
      <c r="F52" s="80">
        <f>(D52*80+(D52-D53)*130)/D52</f>
        <v>82.260015117158</v>
      </c>
      <c r="G52" s="75">
        <f t="shared" si="6"/>
        <v>2176600</v>
      </c>
      <c r="H52" s="84" t="s">
        <v>176</v>
      </c>
    </row>
    <row r="53" s="66" customFormat="1" customHeight="1" spans="2:8">
      <c r="B53" s="82"/>
      <c r="C53" s="83" t="s">
        <v>177</v>
      </c>
      <c r="D53" s="82">
        <v>26000</v>
      </c>
      <c r="E53" s="75" t="s">
        <v>175</v>
      </c>
      <c r="F53" s="75">
        <v>20</v>
      </c>
      <c r="G53" s="75">
        <f t="shared" si="6"/>
        <v>520000</v>
      </c>
      <c r="H53" s="84" t="s">
        <v>176</v>
      </c>
    </row>
    <row r="54" s="66" customFormat="1" customHeight="1" spans="2:8">
      <c r="B54" s="82"/>
      <c r="C54" s="72" t="s">
        <v>184</v>
      </c>
      <c r="D54" s="78">
        <v>200</v>
      </c>
      <c r="E54" s="82" t="s">
        <v>49</v>
      </c>
      <c r="F54" s="82">
        <v>200</v>
      </c>
      <c r="G54" s="75">
        <f t="shared" si="4"/>
        <v>40000</v>
      </c>
      <c r="H54" s="83" t="s">
        <v>189</v>
      </c>
    </row>
    <row r="55" s="66" customFormat="1" customHeight="1" spans="2:8">
      <c r="B55" s="82"/>
      <c r="C55" s="72" t="s">
        <v>186</v>
      </c>
      <c r="D55" s="78">
        <v>12</v>
      </c>
      <c r="E55" s="82" t="s">
        <v>71</v>
      </c>
      <c r="F55" s="82">
        <v>5000</v>
      </c>
      <c r="G55" s="75">
        <f t="shared" si="4"/>
        <v>60000</v>
      </c>
      <c r="H55" s="83"/>
    </row>
    <row r="56" s="66" customFormat="1" customHeight="1" spans="2:8">
      <c r="B56" s="72"/>
      <c r="C56" s="72" t="s">
        <v>187</v>
      </c>
      <c r="D56" s="78">
        <v>1</v>
      </c>
      <c r="E56" s="82" t="s">
        <v>59</v>
      </c>
      <c r="F56" s="82">
        <v>200000</v>
      </c>
      <c r="G56" s="75">
        <f t="shared" si="4"/>
        <v>200000</v>
      </c>
      <c r="H56" s="72"/>
    </row>
    <row r="57" s="66" customFormat="1" customHeight="1" spans="2:8">
      <c r="B57" s="69" t="s">
        <v>193</v>
      </c>
      <c r="C57" s="69"/>
      <c r="D57" s="69"/>
      <c r="E57" s="69"/>
      <c r="F57" s="69"/>
      <c r="G57" s="69"/>
      <c r="H57" s="69"/>
    </row>
    <row r="58" s="66" customFormat="1" customHeight="1" spans="2:8">
      <c r="B58" s="70" t="s">
        <v>159</v>
      </c>
      <c r="C58" s="69" t="s">
        <v>93</v>
      </c>
      <c r="D58" s="69" t="s">
        <v>47</v>
      </c>
      <c r="E58" s="71" t="s">
        <v>46</v>
      </c>
      <c r="F58" s="71" t="s">
        <v>160</v>
      </c>
      <c r="G58" s="71" t="s">
        <v>122</v>
      </c>
      <c r="H58" s="70" t="s">
        <v>41</v>
      </c>
    </row>
    <row r="59" s="66" customFormat="1" customHeight="1" spans="2:11">
      <c r="B59" s="72" t="s">
        <v>161</v>
      </c>
      <c r="C59" s="73" t="s">
        <v>162</v>
      </c>
      <c r="D59" s="74">
        <v>2100</v>
      </c>
      <c r="E59" s="75" t="s">
        <v>49</v>
      </c>
      <c r="F59" s="75">
        <v>140</v>
      </c>
      <c r="G59" s="75">
        <f>D59*F59</f>
        <v>294000</v>
      </c>
      <c r="H59" s="73" t="s">
        <v>163</v>
      </c>
      <c r="J59" s="66">
        <f t="shared" ref="J59:J66" si="7">D59*(2*4+2+2)*4/2</f>
        <v>50400</v>
      </c>
      <c r="K59" s="66">
        <f t="shared" ref="K59:K66" si="8">3.14*0.6*0.6*D59</f>
        <v>2373.84</v>
      </c>
    </row>
    <row r="60" s="66" customFormat="1" customHeight="1" spans="2:8">
      <c r="B60" s="72"/>
      <c r="C60" s="76" t="s">
        <v>164</v>
      </c>
      <c r="D60" s="77">
        <v>210</v>
      </c>
      <c r="E60" s="78" t="s">
        <v>49</v>
      </c>
      <c r="F60" s="78">
        <v>563</v>
      </c>
      <c r="G60" s="75">
        <f>D60*F60</f>
        <v>118230</v>
      </c>
      <c r="H60" s="76" t="s">
        <v>165</v>
      </c>
    </row>
    <row r="61" s="66" customFormat="1" customHeight="1" spans="2:11">
      <c r="B61" s="72"/>
      <c r="C61" s="73" t="s">
        <v>166</v>
      </c>
      <c r="D61" s="74">
        <v>250</v>
      </c>
      <c r="E61" s="75" t="s">
        <v>49</v>
      </c>
      <c r="F61" s="75">
        <v>980</v>
      </c>
      <c r="G61" s="75">
        <f>D61*F61</f>
        <v>245000</v>
      </c>
      <c r="H61" s="73"/>
      <c r="J61" s="66">
        <f t="shared" si="7"/>
        <v>6000</v>
      </c>
      <c r="K61" s="66">
        <f t="shared" si="8"/>
        <v>282.6</v>
      </c>
    </row>
    <row r="62" s="66" customFormat="1" customHeight="1" spans="2:11">
      <c r="B62" s="72"/>
      <c r="C62" s="73" t="s">
        <v>167</v>
      </c>
      <c r="D62" s="74">
        <v>180</v>
      </c>
      <c r="E62" s="75" t="s">
        <v>49</v>
      </c>
      <c r="F62" s="75">
        <v>1280</v>
      </c>
      <c r="G62" s="75">
        <f>D62*F62</f>
        <v>230400</v>
      </c>
      <c r="H62" s="73"/>
      <c r="J62" s="66">
        <f t="shared" si="7"/>
        <v>4320</v>
      </c>
      <c r="K62" s="66">
        <f t="shared" si="8"/>
        <v>203.472</v>
      </c>
    </row>
    <row r="63" s="66" customFormat="1" customHeight="1" spans="2:11">
      <c r="B63" s="72"/>
      <c r="C63" s="73" t="s">
        <v>168</v>
      </c>
      <c r="D63" s="74">
        <v>480</v>
      </c>
      <c r="E63" s="75" t="s">
        <v>49</v>
      </c>
      <c r="F63" s="75">
        <v>1945</v>
      </c>
      <c r="G63" s="75">
        <f>D63*F63</f>
        <v>933600</v>
      </c>
      <c r="H63" s="73"/>
      <c r="J63" s="66">
        <f t="shared" si="7"/>
        <v>11520</v>
      </c>
      <c r="K63" s="66">
        <f t="shared" si="8"/>
        <v>542.592</v>
      </c>
    </row>
    <row r="64" s="66" customFormat="1" customHeight="1" spans="2:11">
      <c r="B64" s="72"/>
      <c r="C64" s="73" t="s">
        <v>194</v>
      </c>
      <c r="D64" s="74">
        <v>250</v>
      </c>
      <c r="E64" s="75" t="s">
        <v>49</v>
      </c>
      <c r="F64" s="75">
        <v>2150</v>
      </c>
      <c r="G64" s="75">
        <f t="shared" ref="G64:G70" si="9">D64*F64</f>
        <v>537500</v>
      </c>
      <c r="H64" s="73"/>
      <c r="J64" s="66">
        <f t="shared" si="7"/>
        <v>6000</v>
      </c>
      <c r="K64" s="66">
        <f t="shared" si="8"/>
        <v>282.6</v>
      </c>
    </row>
    <row r="65" s="66" customFormat="1" customHeight="1" spans="2:11">
      <c r="B65" s="72"/>
      <c r="C65" s="73" t="s">
        <v>195</v>
      </c>
      <c r="D65" s="74">
        <v>240</v>
      </c>
      <c r="E65" s="75" t="s">
        <v>49</v>
      </c>
      <c r="F65" s="75">
        <v>3300</v>
      </c>
      <c r="G65" s="75">
        <f t="shared" si="9"/>
        <v>792000</v>
      </c>
      <c r="H65" s="73"/>
      <c r="J65" s="66">
        <f t="shared" si="7"/>
        <v>5760</v>
      </c>
      <c r="K65" s="66">
        <f t="shared" si="8"/>
        <v>271.296</v>
      </c>
    </row>
    <row r="66" s="66" customFormat="1" customHeight="1" spans="2:11">
      <c r="B66" s="72"/>
      <c r="C66" s="73" t="s">
        <v>196</v>
      </c>
      <c r="D66" s="74">
        <v>580</v>
      </c>
      <c r="E66" s="75" t="s">
        <v>49</v>
      </c>
      <c r="F66" s="75">
        <v>3500</v>
      </c>
      <c r="G66" s="75">
        <f t="shared" si="9"/>
        <v>2030000</v>
      </c>
      <c r="H66" s="73"/>
      <c r="J66" s="66">
        <f t="shared" si="7"/>
        <v>13920</v>
      </c>
      <c r="K66" s="66">
        <f t="shared" si="8"/>
        <v>655.632</v>
      </c>
    </row>
    <row r="67" s="66" customFormat="1" customHeight="1" spans="2:8">
      <c r="B67" s="72"/>
      <c r="C67" s="73" t="s">
        <v>169</v>
      </c>
      <c r="D67" s="74">
        <v>75</v>
      </c>
      <c r="E67" s="75" t="s">
        <v>170</v>
      </c>
      <c r="F67" s="75">
        <v>8000</v>
      </c>
      <c r="G67" s="75">
        <f t="shared" si="9"/>
        <v>600000</v>
      </c>
      <c r="H67" s="76" t="s">
        <v>171</v>
      </c>
    </row>
    <row r="68" s="66" customFormat="1" customHeight="1" spans="2:13">
      <c r="B68" s="72"/>
      <c r="C68" s="73" t="s">
        <v>172</v>
      </c>
      <c r="D68" s="74">
        <v>156</v>
      </c>
      <c r="E68" s="75" t="s">
        <v>170</v>
      </c>
      <c r="F68" s="75">
        <v>1100</v>
      </c>
      <c r="G68" s="75">
        <f t="shared" si="9"/>
        <v>171600</v>
      </c>
      <c r="H68" s="73" t="s">
        <v>173</v>
      </c>
      <c r="L68" s="66" t="e">
        <f>#REF!+D63+D64+D66</f>
        <v>#REF!</v>
      </c>
      <c r="M68" s="66" t="e">
        <f>L68/120</f>
        <v>#REF!</v>
      </c>
    </row>
    <row r="69" s="66" customFormat="1" customHeight="1" spans="2:11">
      <c r="B69" s="72"/>
      <c r="C69" s="83" t="s">
        <v>174</v>
      </c>
      <c r="D69" s="74">
        <v>52960</v>
      </c>
      <c r="E69" s="75" t="s">
        <v>175</v>
      </c>
      <c r="F69" s="80">
        <f>(D69*80+(D69-D70)*130)/D69</f>
        <v>86.2839879154078</v>
      </c>
      <c r="G69" s="75">
        <f t="shared" si="9"/>
        <v>4569600</v>
      </c>
      <c r="H69" s="72" t="s">
        <v>176</v>
      </c>
      <c r="J69" s="66">
        <f>SUM(J61:J66)</f>
        <v>47520</v>
      </c>
      <c r="K69" s="66">
        <f>SUM(K61:K66)</f>
        <v>2238.192</v>
      </c>
    </row>
    <row r="70" s="66" customFormat="1" customHeight="1" spans="2:8">
      <c r="B70" s="72"/>
      <c r="C70" s="83" t="s">
        <v>177</v>
      </c>
      <c r="D70" s="74">
        <v>50400</v>
      </c>
      <c r="E70" s="75" t="s">
        <v>175</v>
      </c>
      <c r="F70" s="75">
        <v>20</v>
      </c>
      <c r="G70" s="75">
        <f t="shared" si="9"/>
        <v>1008000</v>
      </c>
      <c r="H70" s="72" t="s">
        <v>176</v>
      </c>
    </row>
    <row r="71" s="66" customFormat="1" customHeight="1" spans="2:8">
      <c r="B71" s="93" t="s">
        <v>178</v>
      </c>
      <c r="C71" s="79" t="s">
        <v>197</v>
      </c>
      <c r="D71" s="77">
        <v>320</v>
      </c>
      <c r="E71" s="82" t="s">
        <v>49</v>
      </c>
      <c r="F71" s="82">
        <v>200</v>
      </c>
      <c r="G71" s="75">
        <f t="shared" ref="G71:G80" si="10">D71*F71</f>
        <v>64000</v>
      </c>
      <c r="H71" s="83" t="s">
        <v>180</v>
      </c>
    </row>
    <row r="72" s="66" customFormat="1" customHeight="1" spans="2:11">
      <c r="B72" s="94"/>
      <c r="C72" s="79" t="s">
        <v>198</v>
      </c>
      <c r="D72" s="77">
        <v>120</v>
      </c>
      <c r="E72" s="82" t="s">
        <v>49</v>
      </c>
      <c r="F72" s="75">
        <v>240</v>
      </c>
      <c r="G72" s="75">
        <f t="shared" si="10"/>
        <v>28800</v>
      </c>
      <c r="H72" s="83" t="s">
        <v>180</v>
      </c>
      <c r="J72" s="66">
        <f t="shared" ref="J72:J74" si="11">D72*(2*2.8+1.6+1.6)*2.8/2</f>
        <v>1478.4</v>
      </c>
      <c r="K72" s="92">
        <f t="shared" ref="K72:K74" si="12">3.14*0.5*0.5*D72</f>
        <v>94.2</v>
      </c>
    </row>
    <row r="73" s="66" customFormat="1" customHeight="1" spans="2:11">
      <c r="B73" s="94"/>
      <c r="C73" s="76" t="s">
        <v>164</v>
      </c>
      <c r="D73" s="77">
        <v>1400</v>
      </c>
      <c r="E73" s="82" t="s">
        <v>49</v>
      </c>
      <c r="F73" s="78">
        <v>563</v>
      </c>
      <c r="G73" s="75">
        <f t="shared" si="10"/>
        <v>788200</v>
      </c>
      <c r="H73" s="83"/>
      <c r="J73" s="66">
        <f t="shared" si="11"/>
        <v>17248</v>
      </c>
      <c r="K73" s="92">
        <f t="shared" si="12"/>
        <v>1099</v>
      </c>
    </row>
    <row r="74" s="66" customFormat="1" customHeight="1" spans="2:11">
      <c r="B74" s="94"/>
      <c r="C74" s="76" t="s">
        <v>199</v>
      </c>
      <c r="D74" s="77">
        <v>630</v>
      </c>
      <c r="E74" s="82" t="s">
        <v>49</v>
      </c>
      <c r="F74" s="82">
        <v>764</v>
      </c>
      <c r="G74" s="82">
        <f t="shared" si="10"/>
        <v>481320</v>
      </c>
      <c r="H74" s="83"/>
      <c r="J74" s="66">
        <f t="shared" si="11"/>
        <v>7761.6</v>
      </c>
      <c r="K74" s="92">
        <f t="shared" si="12"/>
        <v>494.55</v>
      </c>
    </row>
    <row r="75" s="66" customFormat="1" customHeight="1" spans="2:8">
      <c r="B75" s="94"/>
      <c r="C75" s="83" t="s">
        <v>182</v>
      </c>
      <c r="D75" s="82">
        <v>56</v>
      </c>
      <c r="E75" s="82" t="s">
        <v>170</v>
      </c>
      <c r="F75" s="78">
        <v>10000</v>
      </c>
      <c r="G75" s="75">
        <f t="shared" si="10"/>
        <v>560000</v>
      </c>
      <c r="H75" s="76" t="s">
        <v>171</v>
      </c>
    </row>
    <row r="76" s="66" customFormat="1" customHeight="1" spans="2:11">
      <c r="B76" s="94"/>
      <c r="C76" s="83" t="s">
        <v>174</v>
      </c>
      <c r="D76" s="82">
        <v>27100</v>
      </c>
      <c r="E76" s="82" t="s">
        <v>175</v>
      </c>
      <c r="F76" s="80">
        <f>(D76*80+(D76-D77)*130)/D76</f>
        <v>88.6346863468635</v>
      </c>
      <c r="G76" s="75">
        <f t="shared" si="10"/>
        <v>2402000</v>
      </c>
      <c r="H76" s="72" t="s">
        <v>176</v>
      </c>
      <c r="J76" s="66">
        <f>J72+J73+J74</f>
        <v>26488</v>
      </c>
      <c r="K76" s="66">
        <f>K72+K73+K74</f>
        <v>1687.75</v>
      </c>
    </row>
    <row r="77" s="66" customFormat="1" customHeight="1" spans="2:8">
      <c r="B77" s="95"/>
      <c r="C77" s="83" t="s">
        <v>177</v>
      </c>
      <c r="D77" s="82">
        <v>25300</v>
      </c>
      <c r="E77" s="82" t="s">
        <v>175</v>
      </c>
      <c r="F77" s="75">
        <v>20</v>
      </c>
      <c r="G77" s="75">
        <f t="shared" si="10"/>
        <v>506000</v>
      </c>
      <c r="H77" s="72" t="s">
        <v>176</v>
      </c>
    </row>
    <row r="78" s="66" customFormat="1" customHeight="1" spans="2:8">
      <c r="B78" s="82"/>
      <c r="C78" s="72" t="s">
        <v>184</v>
      </c>
      <c r="D78" s="78">
        <v>0</v>
      </c>
      <c r="E78" s="82" t="s">
        <v>49</v>
      </c>
      <c r="F78" s="82">
        <v>200</v>
      </c>
      <c r="G78" s="75">
        <f t="shared" si="10"/>
        <v>0</v>
      </c>
      <c r="H78" s="83" t="s">
        <v>189</v>
      </c>
    </row>
    <row r="79" s="66" customFormat="1" customHeight="1" spans="2:8">
      <c r="B79" s="82"/>
      <c r="C79" s="72" t="s">
        <v>186</v>
      </c>
      <c r="D79" s="78">
        <v>25</v>
      </c>
      <c r="E79" s="82" t="s">
        <v>71</v>
      </c>
      <c r="F79" s="82">
        <v>5000</v>
      </c>
      <c r="G79" s="75">
        <f t="shared" si="10"/>
        <v>125000</v>
      </c>
      <c r="H79" s="83"/>
    </row>
    <row r="80" s="66" customFormat="1" customHeight="1" spans="2:8">
      <c r="B80" s="90"/>
      <c r="C80" s="72" t="s">
        <v>187</v>
      </c>
      <c r="D80" s="78">
        <v>1</v>
      </c>
      <c r="E80" s="82" t="s">
        <v>59</v>
      </c>
      <c r="F80" s="82">
        <v>150000</v>
      </c>
      <c r="G80" s="75">
        <f t="shared" si="10"/>
        <v>150000</v>
      </c>
      <c r="H80" s="72"/>
    </row>
    <row r="81" s="66" customFormat="1" customHeight="1" spans="2:8">
      <c r="B81" s="69" t="s">
        <v>200</v>
      </c>
      <c r="C81" s="69"/>
      <c r="D81" s="69"/>
      <c r="E81" s="69"/>
      <c r="F81" s="69"/>
      <c r="G81" s="69"/>
      <c r="H81" s="69"/>
    </row>
    <row r="82" s="66" customFormat="1" customHeight="1" spans="2:8">
      <c r="B82" s="70" t="s">
        <v>159</v>
      </c>
      <c r="C82" s="69" t="s">
        <v>93</v>
      </c>
      <c r="D82" s="69" t="s">
        <v>47</v>
      </c>
      <c r="E82" s="71" t="s">
        <v>46</v>
      </c>
      <c r="F82" s="71" t="s">
        <v>160</v>
      </c>
      <c r="G82" s="71" t="s">
        <v>122</v>
      </c>
      <c r="H82" s="70" t="s">
        <v>41</v>
      </c>
    </row>
    <row r="83" s="66" customFormat="1" customHeight="1" spans="2:8">
      <c r="B83" s="72" t="s">
        <v>161</v>
      </c>
      <c r="C83" s="73" t="s">
        <v>162</v>
      </c>
      <c r="D83" s="74">
        <v>560</v>
      </c>
      <c r="E83" s="75" t="s">
        <v>49</v>
      </c>
      <c r="F83" s="75">
        <v>140</v>
      </c>
      <c r="G83" s="75">
        <f>D83*F83</f>
        <v>78400</v>
      </c>
      <c r="H83" s="73" t="s">
        <v>163</v>
      </c>
    </row>
    <row r="84" s="66" customFormat="1" customHeight="1" spans="2:8">
      <c r="B84" s="72"/>
      <c r="C84" s="76" t="s">
        <v>164</v>
      </c>
      <c r="D84" s="77">
        <v>65</v>
      </c>
      <c r="E84" s="78" t="s">
        <v>49</v>
      </c>
      <c r="F84" s="78">
        <v>563</v>
      </c>
      <c r="G84" s="75">
        <f t="shared" ref="G84:G90" si="13">D84*F84</f>
        <v>36595</v>
      </c>
      <c r="H84" s="76" t="s">
        <v>165</v>
      </c>
    </row>
    <row r="85" s="66" customFormat="1" customHeight="1" spans="2:8">
      <c r="B85" s="72"/>
      <c r="C85" s="76" t="s">
        <v>201</v>
      </c>
      <c r="D85" s="77">
        <v>35</v>
      </c>
      <c r="E85" s="78" t="s">
        <v>49</v>
      </c>
      <c r="F85" s="75">
        <v>980</v>
      </c>
      <c r="G85" s="75">
        <f t="shared" si="13"/>
        <v>34300</v>
      </c>
      <c r="H85" s="76"/>
    </row>
    <row r="86" s="66" customFormat="1" customHeight="1" spans="2:11">
      <c r="B86" s="72"/>
      <c r="C86" s="73" t="s">
        <v>168</v>
      </c>
      <c r="D86" s="77">
        <v>550</v>
      </c>
      <c r="E86" s="75" t="s">
        <v>49</v>
      </c>
      <c r="F86" s="75">
        <v>1945</v>
      </c>
      <c r="G86" s="75">
        <f t="shared" si="13"/>
        <v>1069750</v>
      </c>
      <c r="H86" s="73"/>
      <c r="J86" s="66">
        <f>D86*(2*4+2+2)*4/2</f>
        <v>13200</v>
      </c>
      <c r="K86" s="66">
        <f>3.14*0.6*0.6*D86</f>
        <v>621.72</v>
      </c>
    </row>
    <row r="87" s="66" customFormat="1" customHeight="1" spans="2:8">
      <c r="B87" s="72"/>
      <c r="C87" s="73" t="s">
        <v>169</v>
      </c>
      <c r="D87" s="74">
        <v>25</v>
      </c>
      <c r="E87" s="75" t="s">
        <v>170</v>
      </c>
      <c r="F87" s="75">
        <v>8000</v>
      </c>
      <c r="G87" s="75">
        <f t="shared" si="13"/>
        <v>200000</v>
      </c>
      <c r="H87" s="76" t="s">
        <v>171</v>
      </c>
    </row>
    <row r="88" s="66" customFormat="1" customHeight="1" spans="2:13">
      <c r="B88" s="72"/>
      <c r="C88" s="73" t="s">
        <v>172</v>
      </c>
      <c r="D88" s="74">
        <v>50</v>
      </c>
      <c r="E88" s="75" t="s">
        <v>170</v>
      </c>
      <c r="F88" s="75">
        <v>1100</v>
      </c>
      <c r="G88" s="75">
        <f t="shared" si="13"/>
        <v>55000</v>
      </c>
      <c r="H88" s="73" t="s">
        <v>173</v>
      </c>
      <c r="L88" s="66" t="e">
        <f>#REF!+#REF!+D86</f>
        <v>#REF!</v>
      </c>
      <c r="M88" s="66" t="e">
        <f>L88/30</f>
        <v>#REF!</v>
      </c>
    </row>
    <row r="89" s="66" customFormat="1" customHeight="1" spans="2:11">
      <c r="B89" s="72"/>
      <c r="C89" s="83" t="s">
        <v>174</v>
      </c>
      <c r="D89" s="74">
        <v>14400</v>
      </c>
      <c r="E89" s="75" t="s">
        <v>175</v>
      </c>
      <c r="F89" s="80">
        <f>(D89*80+(D89-D90)*130)/D89</f>
        <v>87.2222222222222</v>
      </c>
      <c r="G89" s="75">
        <f t="shared" si="13"/>
        <v>1256000</v>
      </c>
      <c r="H89" s="72" t="s">
        <v>176</v>
      </c>
      <c r="J89" s="66">
        <f>SUM(J86:J86)</f>
        <v>13200</v>
      </c>
      <c r="K89" s="66">
        <f>SUM(K86:K86)</f>
        <v>621.72</v>
      </c>
    </row>
    <row r="90" s="66" customFormat="1" customHeight="1" spans="2:8">
      <c r="B90" s="72"/>
      <c r="C90" s="83" t="s">
        <v>177</v>
      </c>
      <c r="D90" s="74">
        <v>13600</v>
      </c>
      <c r="E90" s="75" t="s">
        <v>175</v>
      </c>
      <c r="F90" s="75">
        <v>20</v>
      </c>
      <c r="G90" s="75">
        <f t="shared" si="13"/>
        <v>272000</v>
      </c>
      <c r="H90" s="72" t="s">
        <v>176</v>
      </c>
    </row>
    <row r="91" s="66" customFormat="1" customHeight="1" spans="2:11">
      <c r="B91" s="82" t="s">
        <v>178</v>
      </c>
      <c r="C91" s="83" t="s">
        <v>197</v>
      </c>
      <c r="D91" s="78">
        <v>750</v>
      </c>
      <c r="E91" s="82" t="s">
        <v>49</v>
      </c>
      <c r="F91" s="82">
        <v>200</v>
      </c>
      <c r="G91" s="75">
        <f t="shared" ref="G91:G98" si="14">D91*F91</f>
        <v>150000</v>
      </c>
      <c r="H91" s="83" t="s">
        <v>180</v>
      </c>
      <c r="J91" s="67">
        <f>D91*(2*3+1.2+1.2)*3/2</f>
        <v>9450</v>
      </c>
      <c r="K91" s="67">
        <f>3.14*0.25*0.25*D91</f>
        <v>147.1875</v>
      </c>
    </row>
    <row r="92" s="66" customFormat="1" customHeight="1" spans="2:11">
      <c r="B92" s="82"/>
      <c r="C92" s="83" t="s">
        <v>198</v>
      </c>
      <c r="D92" s="78">
        <v>920</v>
      </c>
      <c r="E92" s="82" t="s">
        <v>49</v>
      </c>
      <c r="F92" s="75">
        <v>240</v>
      </c>
      <c r="G92" s="75">
        <f t="shared" si="14"/>
        <v>220800</v>
      </c>
      <c r="H92" s="83" t="s">
        <v>180</v>
      </c>
      <c r="J92" s="67">
        <f>D92*(2*3+1.2+1.2)*3/2</f>
        <v>11592</v>
      </c>
      <c r="K92" s="67">
        <f>3.14*0.25*0.25*D92</f>
        <v>180.55</v>
      </c>
    </row>
    <row r="93" s="66" customFormat="1" customHeight="1" spans="2:8">
      <c r="B93" s="82"/>
      <c r="C93" s="83" t="s">
        <v>182</v>
      </c>
      <c r="D93" s="78">
        <v>53</v>
      </c>
      <c r="E93" s="82" t="s">
        <v>170</v>
      </c>
      <c r="F93" s="78">
        <v>10000</v>
      </c>
      <c r="G93" s="75">
        <f t="shared" si="14"/>
        <v>530000</v>
      </c>
      <c r="H93" s="79" t="s">
        <v>183</v>
      </c>
    </row>
    <row r="94" s="66" customFormat="1" customHeight="1" spans="2:8">
      <c r="B94" s="82"/>
      <c r="C94" s="83" t="s">
        <v>174</v>
      </c>
      <c r="D94" s="78">
        <v>21000</v>
      </c>
      <c r="E94" s="82" t="s">
        <v>175</v>
      </c>
      <c r="F94" s="80">
        <f>(D94*80+(D94-D95)*130)/D94</f>
        <v>89.2857142857143</v>
      </c>
      <c r="G94" s="75">
        <f t="shared" si="14"/>
        <v>1875000</v>
      </c>
      <c r="H94" s="72" t="s">
        <v>176</v>
      </c>
    </row>
    <row r="95" s="66" customFormat="1" customHeight="1" spans="2:11">
      <c r="B95" s="82"/>
      <c r="C95" s="83" t="s">
        <v>177</v>
      </c>
      <c r="D95" s="78">
        <v>19500</v>
      </c>
      <c r="E95" s="82" t="s">
        <v>175</v>
      </c>
      <c r="F95" s="75">
        <v>20</v>
      </c>
      <c r="G95" s="75">
        <f t="shared" si="14"/>
        <v>390000</v>
      </c>
      <c r="H95" s="72" t="s">
        <v>176</v>
      </c>
      <c r="J95" s="66">
        <f>J91+J92</f>
        <v>21042</v>
      </c>
      <c r="K95" s="66">
        <f>K91+K92</f>
        <v>327.7375</v>
      </c>
    </row>
    <row r="96" s="66" customFormat="1" customHeight="1" spans="2:8">
      <c r="B96" s="82"/>
      <c r="C96" s="72" t="s">
        <v>184</v>
      </c>
      <c r="D96" s="78">
        <v>200</v>
      </c>
      <c r="E96" s="82" t="s">
        <v>49</v>
      </c>
      <c r="F96" s="82">
        <v>200</v>
      </c>
      <c r="G96" s="75">
        <f t="shared" si="14"/>
        <v>40000</v>
      </c>
      <c r="H96" s="83" t="s">
        <v>189</v>
      </c>
    </row>
    <row r="97" s="66" customFormat="1" customHeight="1" spans="2:8">
      <c r="B97" s="82"/>
      <c r="C97" s="72" t="s">
        <v>186</v>
      </c>
      <c r="D97" s="78">
        <v>12</v>
      </c>
      <c r="E97" s="82" t="s">
        <v>71</v>
      </c>
      <c r="F97" s="82">
        <v>5000</v>
      </c>
      <c r="G97" s="75">
        <f t="shared" si="14"/>
        <v>60000</v>
      </c>
      <c r="H97" s="83"/>
    </row>
    <row r="98" s="66" customFormat="1" customHeight="1" spans="2:8">
      <c r="B98" s="90"/>
      <c r="C98" s="72" t="s">
        <v>187</v>
      </c>
      <c r="D98" s="78">
        <v>1</v>
      </c>
      <c r="E98" s="82" t="s">
        <v>59</v>
      </c>
      <c r="F98" s="82">
        <v>200000</v>
      </c>
      <c r="G98" s="75">
        <f t="shared" si="14"/>
        <v>200000</v>
      </c>
      <c r="H98" s="72"/>
    </row>
    <row r="100" s="66" customFormat="1" customHeight="1" spans="2:8">
      <c r="B100" s="69" t="s">
        <v>202</v>
      </c>
      <c r="C100" s="69"/>
      <c r="D100" s="69"/>
      <c r="E100" s="69"/>
      <c r="F100" s="69"/>
      <c r="G100" s="69"/>
      <c r="H100" s="69"/>
    </row>
    <row r="101" s="66" customFormat="1" customHeight="1" spans="2:8">
      <c r="B101" s="70" t="s">
        <v>159</v>
      </c>
      <c r="C101" s="69" t="s">
        <v>93</v>
      </c>
      <c r="D101" s="69" t="s">
        <v>47</v>
      </c>
      <c r="E101" s="71" t="s">
        <v>46</v>
      </c>
      <c r="F101" s="71" t="s">
        <v>160</v>
      </c>
      <c r="G101" s="71" t="s">
        <v>122</v>
      </c>
      <c r="H101" s="70" t="s">
        <v>41</v>
      </c>
    </row>
    <row r="102" s="66" customFormat="1" customHeight="1" spans="2:8">
      <c r="B102" s="72" t="s">
        <v>161</v>
      </c>
      <c r="C102" s="72" t="s">
        <v>162</v>
      </c>
      <c r="D102" s="74">
        <v>300</v>
      </c>
      <c r="E102" s="82" t="s">
        <v>49</v>
      </c>
      <c r="F102" s="75">
        <v>140</v>
      </c>
      <c r="G102" s="75">
        <f>D102*F102</f>
        <v>42000</v>
      </c>
      <c r="H102" s="72" t="s">
        <v>163</v>
      </c>
    </row>
    <row r="103" s="66" customFormat="1" customHeight="1" spans="2:8">
      <c r="B103" s="72"/>
      <c r="C103" s="76" t="s">
        <v>164</v>
      </c>
      <c r="D103" s="77">
        <v>60</v>
      </c>
      <c r="E103" s="78" t="s">
        <v>49</v>
      </c>
      <c r="F103" s="78">
        <v>563</v>
      </c>
      <c r="G103" s="75">
        <f>D103*F103</f>
        <v>33780</v>
      </c>
      <c r="H103" s="76" t="s">
        <v>165</v>
      </c>
    </row>
    <row r="104" s="66" customFormat="1" customHeight="1" spans="2:11">
      <c r="B104" s="72"/>
      <c r="C104" s="72" t="s">
        <v>203</v>
      </c>
      <c r="D104" s="74">
        <v>15</v>
      </c>
      <c r="E104" s="82" t="s">
        <v>49</v>
      </c>
      <c r="F104" s="82">
        <v>764</v>
      </c>
      <c r="G104" s="82">
        <f t="shared" ref="G104:G110" si="15">D104*F104</f>
        <v>11460</v>
      </c>
      <c r="H104" s="72"/>
      <c r="K104" s="92"/>
    </row>
    <row r="105" s="66" customFormat="1" customHeight="1" spans="2:11">
      <c r="B105" s="72"/>
      <c r="C105" s="72" t="s">
        <v>166</v>
      </c>
      <c r="D105" s="74">
        <v>50</v>
      </c>
      <c r="E105" s="82" t="s">
        <v>49</v>
      </c>
      <c r="F105" s="75">
        <v>980</v>
      </c>
      <c r="G105" s="75">
        <f t="shared" si="15"/>
        <v>49000</v>
      </c>
      <c r="H105" s="72"/>
      <c r="K105" s="92"/>
    </row>
    <row r="106" s="66" customFormat="1" customHeight="1" spans="2:11">
      <c r="B106" s="72"/>
      <c r="C106" s="72" t="s">
        <v>167</v>
      </c>
      <c r="D106" s="74">
        <v>250</v>
      </c>
      <c r="E106" s="82" t="s">
        <v>49</v>
      </c>
      <c r="F106" s="75">
        <v>1280</v>
      </c>
      <c r="G106" s="75">
        <f t="shared" si="15"/>
        <v>320000</v>
      </c>
      <c r="H106" s="72"/>
      <c r="K106" s="92"/>
    </row>
    <row r="107" s="66" customFormat="1" customHeight="1" spans="2:8">
      <c r="B107" s="72"/>
      <c r="C107" s="72" t="s">
        <v>169</v>
      </c>
      <c r="D107" s="74">
        <v>20</v>
      </c>
      <c r="E107" s="82" t="s">
        <v>170</v>
      </c>
      <c r="F107" s="75">
        <v>7000</v>
      </c>
      <c r="G107" s="75">
        <f t="shared" si="15"/>
        <v>140000</v>
      </c>
      <c r="H107" s="72" t="s">
        <v>204</v>
      </c>
    </row>
    <row r="108" s="66" customFormat="1" customHeight="1" spans="2:8">
      <c r="B108" s="72"/>
      <c r="C108" s="72" t="s">
        <v>172</v>
      </c>
      <c r="D108" s="74">
        <v>30</v>
      </c>
      <c r="E108" s="82" t="s">
        <v>170</v>
      </c>
      <c r="F108" s="75">
        <v>1100</v>
      </c>
      <c r="G108" s="75">
        <f t="shared" si="15"/>
        <v>33000</v>
      </c>
      <c r="H108" s="72" t="s">
        <v>173</v>
      </c>
    </row>
    <row r="109" s="66" customFormat="1" customHeight="1" spans="2:8">
      <c r="B109" s="72"/>
      <c r="C109" s="83" t="s">
        <v>174</v>
      </c>
      <c r="D109" s="74">
        <v>5074</v>
      </c>
      <c r="E109" s="82" t="s">
        <v>175</v>
      </c>
      <c r="F109" s="80">
        <f>(D109*80+(D109-D110)*130)/D109</f>
        <v>88.4548679542767</v>
      </c>
      <c r="G109" s="75">
        <f t="shared" si="15"/>
        <v>448820</v>
      </c>
      <c r="H109" s="72" t="s">
        <v>176</v>
      </c>
    </row>
    <row r="110" s="66" customFormat="1" customHeight="1" spans="2:8">
      <c r="B110" s="72"/>
      <c r="C110" s="83" t="s">
        <v>177</v>
      </c>
      <c r="D110" s="74">
        <v>4744</v>
      </c>
      <c r="E110" s="82" t="s">
        <v>175</v>
      </c>
      <c r="F110" s="75">
        <v>20</v>
      </c>
      <c r="G110" s="75">
        <f t="shared" si="15"/>
        <v>94880</v>
      </c>
      <c r="H110" s="90" t="s">
        <v>176</v>
      </c>
    </row>
    <row r="111" s="66" customFormat="1" customHeight="1" spans="2:11">
      <c r="B111" s="82" t="s">
        <v>178</v>
      </c>
      <c r="C111" s="83" t="s">
        <v>179</v>
      </c>
      <c r="D111" s="82">
        <v>250</v>
      </c>
      <c r="E111" s="82" t="s">
        <v>49</v>
      </c>
      <c r="F111" s="82">
        <v>200</v>
      </c>
      <c r="G111" s="75">
        <f t="shared" ref="G111:G118" si="16">D111*F111</f>
        <v>50000</v>
      </c>
      <c r="H111" s="83" t="s">
        <v>180</v>
      </c>
      <c r="J111" s="67">
        <f>D111*(2*3+1.2+1.2)*3/2</f>
        <v>3150</v>
      </c>
      <c r="K111" s="67">
        <f>3.14*0.25*0.25*D111</f>
        <v>49.0625</v>
      </c>
    </row>
    <row r="112" s="66" customFormat="1" customHeight="1" spans="2:11">
      <c r="B112" s="82"/>
      <c r="C112" s="83" t="s">
        <v>198</v>
      </c>
      <c r="D112" s="77">
        <v>560</v>
      </c>
      <c r="E112" s="82" t="s">
        <v>49</v>
      </c>
      <c r="F112" s="75">
        <v>240</v>
      </c>
      <c r="G112" s="75">
        <f t="shared" si="16"/>
        <v>134400</v>
      </c>
      <c r="H112" s="83" t="s">
        <v>205</v>
      </c>
      <c r="J112" s="67">
        <f>D112*(2*3+1.2+1.2)*3/2</f>
        <v>7056</v>
      </c>
      <c r="K112" s="67">
        <f>3.14*0.25*0.25*D112</f>
        <v>109.9</v>
      </c>
    </row>
    <row r="113" s="66" customFormat="1" customHeight="1" spans="2:8">
      <c r="B113" s="82"/>
      <c r="C113" s="83" t="s">
        <v>182</v>
      </c>
      <c r="D113" s="82">
        <v>40</v>
      </c>
      <c r="E113" s="82" t="s">
        <v>170</v>
      </c>
      <c r="F113" s="78">
        <v>10000</v>
      </c>
      <c r="G113" s="75">
        <f t="shared" si="16"/>
        <v>400000</v>
      </c>
      <c r="H113" s="79" t="s">
        <v>183</v>
      </c>
    </row>
    <row r="114" s="66" customFormat="1" customHeight="1" spans="2:11">
      <c r="B114" s="82"/>
      <c r="C114" s="83" t="s">
        <v>174</v>
      </c>
      <c r="D114" s="82">
        <v>9450</v>
      </c>
      <c r="E114" s="82" t="s">
        <v>175</v>
      </c>
      <c r="F114" s="80">
        <f>(D114*80+(D114-D115)*130)/D114</f>
        <v>84.1269841269841</v>
      </c>
      <c r="G114" s="75">
        <f t="shared" si="16"/>
        <v>795000</v>
      </c>
      <c r="H114" s="83" t="s">
        <v>176</v>
      </c>
      <c r="K114" s="96"/>
    </row>
    <row r="115" s="66" customFormat="1" customHeight="1" spans="2:8">
      <c r="B115" s="82"/>
      <c r="C115" s="83" t="s">
        <v>177</v>
      </c>
      <c r="D115" s="82">
        <v>9150</v>
      </c>
      <c r="E115" s="82" t="s">
        <v>175</v>
      </c>
      <c r="F115" s="75">
        <v>20</v>
      </c>
      <c r="G115" s="75">
        <f t="shared" si="16"/>
        <v>183000</v>
      </c>
      <c r="H115" s="83" t="s">
        <v>176</v>
      </c>
    </row>
    <row r="116" s="66" customFormat="1" customHeight="1" spans="2:8">
      <c r="B116" s="82"/>
      <c r="C116" s="72" t="s">
        <v>184</v>
      </c>
      <c r="D116" s="78">
        <v>100</v>
      </c>
      <c r="E116" s="82" t="s">
        <v>49</v>
      </c>
      <c r="F116" s="82">
        <v>200</v>
      </c>
      <c r="G116" s="75">
        <f t="shared" si="16"/>
        <v>20000</v>
      </c>
      <c r="H116" s="83" t="s">
        <v>189</v>
      </c>
    </row>
    <row r="117" s="66" customFormat="1" customHeight="1" spans="2:8">
      <c r="B117" s="82"/>
      <c r="C117" s="72" t="s">
        <v>186</v>
      </c>
      <c r="D117" s="78">
        <v>8</v>
      </c>
      <c r="E117" s="82" t="s">
        <v>71</v>
      </c>
      <c r="F117" s="82">
        <v>5000</v>
      </c>
      <c r="G117" s="75">
        <f t="shared" si="16"/>
        <v>40000</v>
      </c>
      <c r="H117" s="83"/>
    </row>
    <row r="118" s="66" customFormat="1" customHeight="1" spans="2:8">
      <c r="B118" s="90"/>
      <c r="C118" s="72" t="s">
        <v>187</v>
      </c>
      <c r="D118" s="78">
        <v>1</v>
      </c>
      <c r="E118" s="82" t="s">
        <v>59</v>
      </c>
      <c r="F118" s="82">
        <v>150000</v>
      </c>
      <c r="G118" s="75">
        <f t="shared" si="16"/>
        <v>150000</v>
      </c>
      <c r="H118" s="72"/>
    </row>
    <row r="120" s="66" customFormat="1" customHeight="1" spans="2:8">
      <c r="B120" s="69" t="s">
        <v>206</v>
      </c>
      <c r="C120" s="69"/>
      <c r="D120" s="69"/>
      <c r="E120" s="69"/>
      <c r="F120" s="69"/>
      <c r="G120" s="69"/>
      <c r="H120" s="69"/>
    </row>
    <row r="121" s="66" customFormat="1" customHeight="1" spans="2:8">
      <c r="B121" s="70" t="s">
        <v>159</v>
      </c>
      <c r="C121" s="69" t="s">
        <v>93</v>
      </c>
      <c r="D121" s="69" t="s">
        <v>47</v>
      </c>
      <c r="E121" s="71" t="s">
        <v>46</v>
      </c>
      <c r="F121" s="71" t="s">
        <v>160</v>
      </c>
      <c r="G121" s="71" t="s">
        <v>122</v>
      </c>
      <c r="H121" s="70" t="s">
        <v>41</v>
      </c>
    </row>
    <row r="122" s="66" customFormat="1" customHeight="1" spans="2:11">
      <c r="B122" s="72" t="s">
        <v>178</v>
      </c>
      <c r="C122" s="83" t="s">
        <v>197</v>
      </c>
      <c r="D122" s="78">
        <v>900</v>
      </c>
      <c r="E122" s="82" t="s">
        <v>49</v>
      </c>
      <c r="F122" s="82">
        <v>200</v>
      </c>
      <c r="G122" s="75">
        <f t="shared" ref="G122:G128" si="17">D122*F122</f>
        <v>180000</v>
      </c>
      <c r="H122" s="83" t="s">
        <v>180</v>
      </c>
      <c r="J122" s="67">
        <f>D122*(2*3+1.2+1.2)*3/2</f>
        <v>11340</v>
      </c>
      <c r="K122" s="67">
        <f>3.14*0.25*0.25*D122</f>
        <v>176.625</v>
      </c>
    </row>
    <row r="123" s="66" customFormat="1" customHeight="1" spans="2:8">
      <c r="B123" s="82"/>
      <c r="C123" s="83" t="s">
        <v>182</v>
      </c>
      <c r="D123" s="78">
        <v>25</v>
      </c>
      <c r="E123" s="82" t="s">
        <v>170</v>
      </c>
      <c r="F123" s="78">
        <v>10000</v>
      </c>
      <c r="G123" s="75">
        <f t="shared" si="17"/>
        <v>250000</v>
      </c>
      <c r="H123" s="79" t="s">
        <v>183</v>
      </c>
    </row>
    <row r="124" s="66" customFormat="1" customHeight="1" spans="2:8">
      <c r="B124" s="72"/>
      <c r="C124" s="83" t="s">
        <v>174</v>
      </c>
      <c r="D124" s="77">
        <v>11340</v>
      </c>
      <c r="E124" s="75" t="s">
        <v>175</v>
      </c>
      <c r="F124" s="80">
        <f>(D124*80+(D124-D125)*130)/D124</f>
        <v>89.6296296296296</v>
      </c>
      <c r="G124" s="75">
        <f t="shared" si="17"/>
        <v>1016400</v>
      </c>
      <c r="H124" s="73" t="s">
        <v>176</v>
      </c>
    </row>
    <row r="125" s="66" customFormat="1" customHeight="1" spans="2:8">
      <c r="B125" s="72"/>
      <c r="C125" s="83" t="s">
        <v>177</v>
      </c>
      <c r="D125" s="77">
        <v>10500</v>
      </c>
      <c r="E125" s="75" t="s">
        <v>175</v>
      </c>
      <c r="F125" s="75">
        <v>20</v>
      </c>
      <c r="G125" s="75">
        <f t="shared" si="17"/>
        <v>210000</v>
      </c>
      <c r="H125" s="81" t="s">
        <v>176</v>
      </c>
    </row>
    <row r="126" s="66" customFormat="1" customHeight="1" spans="2:8">
      <c r="B126" s="82"/>
      <c r="C126" s="72" t="s">
        <v>184</v>
      </c>
      <c r="D126" s="78">
        <v>180</v>
      </c>
      <c r="E126" s="82" t="s">
        <v>49</v>
      </c>
      <c r="F126" s="82">
        <v>200</v>
      </c>
      <c r="G126" s="75">
        <f t="shared" si="17"/>
        <v>36000</v>
      </c>
      <c r="H126" s="83" t="s">
        <v>189</v>
      </c>
    </row>
    <row r="127" s="66" customFormat="1" customHeight="1" spans="2:8">
      <c r="B127" s="82"/>
      <c r="C127" s="72" t="s">
        <v>186</v>
      </c>
      <c r="D127" s="78">
        <v>12</v>
      </c>
      <c r="E127" s="82" t="s">
        <v>71</v>
      </c>
      <c r="F127" s="82">
        <v>5000</v>
      </c>
      <c r="G127" s="75">
        <f t="shared" si="17"/>
        <v>60000</v>
      </c>
      <c r="H127" s="83"/>
    </row>
    <row r="128" s="66" customFormat="1" customHeight="1" spans="2:8">
      <c r="B128" s="90"/>
      <c r="C128" s="72" t="s">
        <v>187</v>
      </c>
      <c r="D128" s="78">
        <v>1</v>
      </c>
      <c r="E128" s="82" t="s">
        <v>59</v>
      </c>
      <c r="F128" s="82">
        <v>100000</v>
      </c>
      <c r="G128" s="75">
        <f t="shared" si="17"/>
        <v>100000</v>
      </c>
      <c r="H128" s="72"/>
    </row>
    <row r="130" customHeight="1" spans="7:7">
      <c r="G130" s="68">
        <f>SUM(G4:G129)</f>
        <v>56583135</v>
      </c>
    </row>
  </sheetData>
  <autoFilter xmlns:etc="http://www.wps.cn/officeDocument/2017/etCustomData" ref="B2:P128" etc:filterBottomFollowUsedRange="0">
    <extLst/>
  </autoFilter>
  <mergeCells count="20">
    <mergeCell ref="B2:H2"/>
    <mergeCell ref="B22:H22"/>
    <mergeCell ref="B38:H38"/>
    <mergeCell ref="B57:H57"/>
    <mergeCell ref="B81:H81"/>
    <mergeCell ref="B100:H100"/>
    <mergeCell ref="B120:H120"/>
    <mergeCell ref="B4:B12"/>
    <mergeCell ref="B13:B17"/>
    <mergeCell ref="B24:B30"/>
    <mergeCell ref="B31:B34"/>
    <mergeCell ref="B40:B48"/>
    <mergeCell ref="B49:B53"/>
    <mergeCell ref="B59:B70"/>
    <mergeCell ref="B71:B77"/>
    <mergeCell ref="B83:B90"/>
    <mergeCell ref="B91:B95"/>
    <mergeCell ref="B102:B110"/>
    <mergeCell ref="B111:B115"/>
    <mergeCell ref="B122:B12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87"/>
  <sheetViews>
    <sheetView topLeftCell="A34" workbookViewId="0">
      <selection activeCell="D50" sqref="D50"/>
    </sheetView>
  </sheetViews>
  <sheetFormatPr defaultColWidth="9" defaultRowHeight="13.5"/>
  <cols>
    <col min="1" max="1" width="8.8" style="1" customWidth="1"/>
    <col min="2" max="2" width="22.5083333333333" style="2" customWidth="1"/>
    <col min="3" max="3" width="7.175" style="1" customWidth="1"/>
    <col min="4" max="6" width="8.69166666666667" style="1" customWidth="1"/>
    <col min="7" max="7" width="29.775" style="1" customWidth="1"/>
    <col min="8" max="8" width="12.8" style="1"/>
    <col min="9" max="9" width="10.5333333333333" style="3"/>
    <col min="10" max="14" width="9" style="1"/>
    <col min="15" max="15" width="108.316666666667" style="1" customWidth="1"/>
    <col min="16" max="16384" width="9" style="1"/>
  </cols>
  <sheetData>
    <row r="1" s="1" customFormat="1" ht="15.35" customHeight="1" spans="1:9">
      <c r="A1" s="4" t="s">
        <v>109</v>
      </c>
      <c r="B1" s="5"/>
      <c r="C1" s="5"/>
      <c r="D1" s="5"/>
      <c r="E1" s="5"/>
      <c r="F1" s="5"/>
      <c r="G1" s="5"/>
      <c r="I1" s="3"/>
    </row>
    <row r="2" s="1" customFormat="1" spans="1:9">
      <c r="A2" s="6" t="s">
        <v>36</v>
      </c>
      <c r="B2" s="6" t="s">
        <v>207</v>
      </c>
      <c r="C2" s="6" t="s">
        <v>46</v>
      </c>
      <c r="D2" s="6" t="s">
        <v>208</v>
      </c>
      <c r="E2" s="6" t="s">
        <v>160</v>
      </c>
      <c r="F2" s="6" t="s">
        <v>209</v>
      </c>
      <c r="G2" s="6" t="s">
        <v>41</v>
      </c>
      <c r="I2" s="3"/>
    </row>
    <row r="3" s="1" customFormat="1" spans="1:9">
      <c r="A3" s="7">
        <v>1</v>
      </c>
      <c r="B3" s="6" t="s">
        <v>111</v>
      </c>
      <c r="C3" s="6"/>
      <c r="D3" s="6"/>
      <c r="E3" s="6"/>
      <c r="F3" s="6"/>
      <c r="G3" s="6"/>
      <c r="I3" s="3"/>
    </row>
    <row r="4" s="1" customFormat="1" spans="1:9">
      <c r="A4" s="7">
        <v>1.1</v>
      </c>
      <c r="B4" s="6" t="s">
        <v>210</v>
      </c>
      <c r="C4" s="7" t="s">
        <v>211</v>
      </c>
      <c r="D4" s="8">
        <f>D5</f>
        <v>19960.5</v>
      </c>
      <c r="E4" s="9">
        <f>60/0.78*0.54</f>
        <v>41.5384615384615</v>
      </c>
      <c r="F4" s="6">
        <f t="shared" ref="F4:F11" si="0">D4*E4</f>
        <v>829128.461538461</v>
      </c>
      <c r="G4" s="10" t="s">
        <v>144</v>
      </c>
      <c r="I4" s="3"/>
    </row>
    <row r="5" s="1" customFormat="1" ht="84" customHeight="1" spans="1:15">
      <c r="A5" s="7">
        <v>1.2</v>
      </c>
      <c r="B5" s="10" t="s">
        <v>212</v>
      </c>
      <c r="C5" s="7" t="s">
        <v>211</v>
      </c>
      <c r="D5" s="11">
        <f>2380*5*1.15+(430*5+711*5)*1.1</f>
        <v>19960.5</v>
      </c>
      <c r="E5" s="12">
        <f>N5</f>
        <v>180</v>
      </c>
      <c r="F5" s="6">
        <f t="shared" si="0"/>
        <v>3592890</v>
      </c>
      <c r="G5" s="10" t="s">
        <v>213</v>
      </c>
      <c r="H5" s="1">
        <v>70</v>
      </c>
      <c r="I5" s="3">
        <v>60</v>
      </c>
      <c r="J5" s="1">
        <v>50</v>
      </c>
      <c r="N5" s="1">
        <f>SUM(H5:M5)</f>
        <v>180</v>
      </c>
      <c r="O5" s="1" t="s">
        <v>214</v>
      </c>
    </row>
    <row r="6" s="1" customFormat="1" ht="24" customHeight="1" spans="1:15">
      <c r="A6" s="7">
        <v>1.3</v>
      </c>
      <c r="B6" s="6" t="s">
        <v>215</v>
      </c>
      <c r="C6" s="7" t="s">
        <v>49</v>
      </c>
      <c r="D6" s="11">
        <f>(2380+430+711)*1.1</f>
        <v>3873.1</v>
      </c>
      <c r="E6" s="12">
        <v>75</v>
      </c>
      <c r="F6" s="6">
        <f t="shared" si="0"/>
        <v>290482.5</v>
      </c>
      <c r="G6" s="6"/>
      <c r="I6" s="3"/>
      <c r="O6" s="1" t="s">
        <v>216</v>
      </c>
    </row>
    <row r="7" s="1" customFormat="1" spans="1:9">
      <c r="A7" s="7">
        <v>1.4</v>
      </c>
      <c r="B7" s="6" t="s">
        <v>217</v>
      </c>
      <c r="C7" s="7" t="s">
        <v>211</v>
      </c>
      <c r="D7" s="11">
        <f>(430*2.5+711*2.8)*1.1</f>
        <v>3372.38</v>
      </c>
      <c r="E7" s="12">
        <v>30</v>
      </c>
      <c r="F7" s="6">
        <f t="shared" si="0"/>
        <v>101171.4</v>
      </c>
      <c r="G7" s="6"/>
      <c r="I7" s="3"/>
    </row>
    <row r="8" s="1" customFormat="1" ht="36" spans="1:14">
      <c r="A8" s="7">
        <v>1.5</v>
      </c>
      <c r="B8" s="6" t="s">
        <v>218</v>
      </c>
      <c r="C8" s="7" t="s">
        <v>211</v>
      </c>
      <c r="D8" s="11">
        <f>D7</f>
        <v>3372.38</v>
      </c>
      <c r="E8" s="12">
        <f>N8</f>
        <v>165</v>
      </c>
      <c r="F8" s="6">
        <f t="shared" si="0"/>
        <v>556442.7</v>
      </c>
      <c r="G8" s="10" t="s">
        <v>147</v>
      </c>
      <c r="H8" s="1">
        <v>75</v>
      </c>
      <c r="I8" s="3">
        <v>45</v>
      </c>
      <c r="J8" s="1">
        <v>45</v>
      </c>
      <c r="N8" s="1">
        <f>SUM(H8:M8)</f>
        <v>165</v>
      </c>
    </row>
    <row r="9" s="1" customFormat="1" spans="1:9">
      <c r="A9" s="7">
        <v>1.6</v>
      </c>
      <c r="B9" s="6" t="s">
        <v>219</v>
      </c>
      <c r="C9" s="7" t="s">
        <v>211</v>
      </c>
      <c r="D9" s="11">
        <f>8772*1.1</f>
        <v>9649.2</v>
      </c>
      <c r="E9" s="12">
        <v>30</v>
      </c>
      <c r="F9" s="6">
        <f t="shared" si="0"/>
        <v>289476</v>
      </c>
      <c r="G9" s="6"/>
      <c r="I9" s="3"/>
    </row>
    <row r="10" s="1" customFormat="1" spans="1:9">
      <c r="A10" s="7">
        <v>1.7</v>
      </c>
      <c r="B10" s="6" t="s">
        <v>220</v>
      </c>
      <c r="C10" s="7" t="s">
        <v>211</v>
      </c>
      <c r="D10" s="11">
        <f>D9</f>
        <v>9649.2</v>
      </c>
      <c r="E10" s="12">
        <v>250</v>
      </c>
      <c r="F10" s="6">
        <f t="shared" si="0"/>
        <v>2412300</v>
      </c>
      <c r="G10" s="6"/>
      <c r="I10" s="3"/>
    </row>
    <row r="11" s="1" customFormat="1" ht="14.25" spans="1:9">
      <c r="A11" s="7">
        <v>1.8</v>
      </c>
      <c r="B11" s="13" t="s">
        <v>221</v>
      </c>
      <c r="C11" s="7" t="s">
        <v>211</v>
      </c>
      <c r="D11" s="14">
        <f>D4+D7+D9</f>
        <v>32982.08</v>
      </c>
      <c r="E11" s="15">
        <v>50</v>
      </c>
      <c r="F11" s="6">
        <f t="shared" si="0"/>
        <v>1649104</v>
      </c>
      <c r="G11" s="16"/>
      <c r="H11" s="1">
        <f>F11/(D4+D7+D9)</f>
        <v>50</v>
      </c>
      <c r="I11" s="3">
        <f>D4+D7+D9</f>
        <v>32982.08</v>
      </c>
    </row>
    <row r="12" s="1" customFormat="1" ht="14.25" spans="1:9">
      <c r="A12" s="4" t="s">
        <v>222</v>
      </c>
      <c r="B12" s="5"/>
      <c r="C12" s="5"/>
      <c r="D12" s="5"/>
      <c r="E12" s="5"/>
      <c r="F12" s="5"/>
      <c r="G12" s="5"/>
      <c r="I12" s="3"/>
    </row>
    <row r="13" s="1" customFormat="1" spans="1:9">
      <c r="A13" s="6" t="s">
        <v>36</v>
      </c>
      <c r="B13" s="6" t="s">
        <v>207</v>
      </c>
      <c r="C13" s="6" t="s">
        <v>46</v>
      </c>
      <c r="D13" s="6" t="s">
        <v>208</v>
      </c>
      <c r="E13" s="6"/>
      <c r="F13" s="6"/>
      <c r="G13" s="6" t="s">
        <v>41</v>
      </c>
      <c r="I13" s="3"/>
    </row>
    <row r="14" s="1" customFormat="1" spans="1:9">
      <c r="A14" s="7">
        <v>1</v>
      </c>
      <c r="B14" s="6" t="s">
        <v>111</v>
      </c>
      <c r="C14" s="6"/>
      <c r="D14" s="6"/>
      <c r="E14" s="6"/>
      <c r="F14" s="6"/>
      <c r="G14" s="6"/>
      <c r="I14" s="3"/>
    </row>
    <row r="15" s="1" customFormat="1" spans="1:9">
      <c r="A15" s="7">
        <v>1.1</v>
      </c>
      <c r="B15" s="6" t="s">
        <v>210</v>
      </c>
      <c r="C15" s="7" t="s">
        <v>211</v>
      </c>
      <c r="D15" s="8">
        <f>D16+D17</f>
        <v>11739.2</v>
      </c>
      <c r="E15" s="9">
        <f>60/0.78*0.54</f>
        <v>41.5384615384615</v>
      </c>
      <c r="F15" s="6">
        <f t="shared" ref="F15:F24" si="1">D15*E15</f>
        <v>487628.307692307</v>
      </c>
      <c r="G15" s="10" t="s">
        <v>144</v>
      </c>
      <c r="I15" s="3"/>
    </row>
    <row r="16" s="1" customFormat="1" ht="36" spans="1:9">
      <c r="A16" s="7">
        <v>1.2</v>
      </c>
      <c r="B16" s="10" t="s">
        <v>223</v>
      </c>
      <c r="C16" s="7" t="s">
        <v>211</v>
      </c>
      <c r="D16" s="17">
        <f>240*2.8*1.1</f>
        <v>739.2</v>
      </c>
      <c r="E16" s="12">
        <f>E5</f>
        <v>180</v>
      </c>
      <c r="F16" s="6">
        <f t="shared" si="1"/>
        <v>133056</v>
      </c>
      <c r="G16" s="10" t="s">
        <v>145</v>
      </c>
      <c r="I16" s="3"/>
    </row>
    <row r="17" s="1" customFormat="1" ht="36" spans="1:15">
      <c r="A17" s="7">
        <v>1.3</v>
      </c>
      <c r="B17" s="10" t="s">
        <v>212</v>
      </c>
      <c r="C17" s="7" t="s">
        <v>211</v>
      </c>
      <c r="D17" s="17">
        <f>2000*5*1.1</f>
        <v>11000</v>
      </c>
      <c r="E17" s="12">
        <f>E16</f>
        <v>180</v>
      </c>
      <c r="F17" s="6">
        <f t="shared" si="1"/>
        <v>1980000</v>
      </c>
      <c r="G17" s="10" t="s">
        <v>146</v>
      </c>
      <c r="I17" s="3"/>
      <c r="O17" s="1" t="s">
        <v>224</v>
      </c>
    </row>
    <row r="18" s="1" customFormat="1" ht="24" spans="1:15">
      <c r="A18" s="7">
        <v>1.4</v>
      </c>
      <c r="B18" s="6" t="s">
        <v>215</v>
      </c>
      <c r="C18" s="7" t="s">
        <v>49</v>
      </c>
      <c r="D18" s="11">
        <f>(240+1700)*1.1</f>
        <v>2134</v>
      </c>
      <c r="E18" s="12">
        <v>75</v>
      </c>
      <c r="F18" s="6">
        <f t="shared" si="1"/>
        <v>160050</v>
      </c>
      <c r="G18" s="6"/>
      <c r="I18" s="3"/>
      <c r="O18" s="1" t="s">
        <v>225</v>
      </c>
    </row>
    <row r="19" s="1" customFormat="1" spans="1:9">
      <c r="A19" s="7">
        <v>1.5</v>
      </c>
      <c r="B19" s="6" t="s">
        <v>217</v>
      </c>
      <c r="C19" s="7" t="s">
        <v>211</v>
      </c>
      <c r="D19" s="17">
        <f>1700*2*1.1+230*5.8*1.1</f>
        <v>5207.4</v>
      </c>
      <c r="E19" s="12">
        <v>30</v>
      </c>
      <c r="F19" s="6">
        <f t="shared" si="1"/>
        <v>156222</v>
      </c>
      <c r="G19" s="6"/>
      <c r="I19" s="3"/>
    </row>
    <row r="20" s="1" customFormat="1" ht="36" spans="1:9">
      <c r="A20" s="7">
        <v>1.6</v>
      </c>
      <c r="B20" s="6" t="s">
        <v>218</v>
      </c>
      <c r="C20" s="7" t="s">
        <v>211</v>
      </c>
      <c r="D20" s="11">
        <f>D19</f>
        <v>5207.4</v>
      </c>
      <c r="E20" s="12">
        <f>$E$8</f>
        <v>165</v>
      </c>
      <c r="F20" s="6">
        <f t="shared" si="1"/>
        <v>859221</v>
      </c>
      <c r="G20" s="10" t="s">
        <v>147</v>
      </c>
      <c r="I20" s="3"/>
    </row>
    <row r="21" s="1" customFormat="1" spans="1:9">
      <c r="A21" s="7">
        <v>1.7</v>
      </c>
      <c r="B21" s="6" t="s">
        <v>219</v>
      </c>
      <c r="C21" s="7" t="s">
        <v>211</v>
      </c>
      <c r="D21" s="11">
        <f>535*1.5*1.1</f>
        <v>882.75</v>
      </c>
      <c r="E21" s="12">
        <v>30</v>
      </c>
      <c r="F21" s="6">
        <f t="shared" si="1"/>
        <v>26482.5</v>
      </c>
      <c r="G21" s="6"/>
      <c r="I21" s="3"/>
    </row>
    <row r="22" s="1" customFormat="1" spans="1:9">
      <c r="A22" s="7">
        <v>1.8</v>
      </c>
      <c r="B22" s="6" t="s">
        <v>220</v>
      </c>
      <c r="C22" s="7" t="s">
        <v>211</v>
      </c>
      <c r="D22" s="11">
        <f>D21</f>
        <v>882.75</v>
      </c>
      <c r="E22" s="12">
        <v>250</v>
      </c>
      <c r="F22" s="6">
        <f t="shared" si="1"/>
        <v>220687.5</v>
      </c>
      <c r="G22" s="6"/>
      <c r="I22" s="3"/>
    </row>
    <row r="23" s="1" customFormat="1" spans="1:9">
      <c r="A23" s="7">
        <v>1.9</v>
      </c>
      <c r="B23" s="18" t="s">
        <v>226</v>
      </c>
      <c r="C23" s="19" t="s">
        <v>227</v>
      </c>
      <c r="D23" s="20">
        <v>40</v>
      </c>
      <c r="E23" s="12">
        <v>800</v>
      </c>
      <c r="F23" s="6">
        <f t="shared" si="1"/>
        <v>32000</v>
      </c>
      <c r="G23" s="6"/>
      <c r="I23" s="3"/>
    </row>
    <row r="24" s="1" customFormat="1" spans="1:9">
      <c r="A24" s="21">
        <v>1.1</v>
      </c>
      <c r="B24" s="13" t="s">
        <v>221</v>
      </c>
      <c r="C24" s="7" t="s">
        <v>211</v>
      </c>
      <c r="D24" s="13">
        <f>D15+D19+D21</f>
        <v>17829.35</v>
      </c>
      <c r="E24" s="15">
        <v>50</v>
      </c>
      <c r="F24" s="6">
        <f t="shared" si="1"/>
        <v>891467.5</v>
      </c>
      <c r="G24" s="6"/>
      <c r="H24" s="1">
        <f>F24/(D15+D17+D19+D21)</f>
        <v>30.9222198904935</v>
      </c>
      <c r="I24" s="3">
        <f>D15+D17+D19+D21</f>
        <v>28829.35</v>
      </c>
    </row>
    <row r="25" s="1" customFormat="1" ht="14.25" spans="1:9">
      <c r="A25" s="22"/>
      <c r="B25" s="16"/>
      <c r="C25" s="22"/>
      <c r="D25" s="23"/>
      <c r="E25" s="23"/>
      <c r="F25" s="16">
        <f>SUM(F15:F24)</f>
        <v>4946814.80769231</v>
      </c>
      <c r="G25" s="16"/>
      <c r="I25" s="3"/>
    </row>
    <row r="26" s="1" customFormat="1" ht="14.25" spans="1:9">
      <c r="A26" s="4" t="s">
        <v>117</v>
      </c>
      <c r="B26" s="5"/>
      <c r="C26" s="5"/>
      <c r="D26" s="5"/>
      <c r="E26" s="5"/>
      <c r="F26" s="5"/>
      <c r="G26" s="5"/>
      <c r="I26" s="3"/>
    </row>
    <row r="27" s="1" customFormat="1" spans="1:9">
      <c r="A27" s="6" t="s">
        <v>36</v>
      </c>
      <c r="B27" s="6" t="s">
        <v>207</v>
      </c>
      <c r="C27" s="6" t="s">
        <v>46</v>
      </c>
      <c r="D27" s="6" t="s">
        <v>208</v>
      </c>
      <c r="E27" s="6"/>
      <c r="F27" s="6"/>
      <c r="G27" s="6" t="s">
        <v>41</v>
      </c>
      <c r="I27" s="3"/>
    </row>
    <row r="28" s="1" customFormat="1" spans="1:9">
      <c r="A28" s="7">
        <v>1</v>
      </c>
      <c r="B28" s="6" t="s">
        <v>111</v>
      </c>
      <c r="C28" s="6"/>
      <c r="D28" s="6"/>
      <c r="E28" s="6"/>
      <c r="F28" s="6"/>
      <c r="G28" s="6"/>
      <c r="I28" s="3"/>
    </row>
    <row r="29" s="1" customFormat="1" spans="1:9">
      <c r="A29" s="7">
        <v>1.1</v>
      </c>
      <c r="B29" s="6" t="s">
        <v>210</v>
      </c>
      <c r="C29" s="7" t="s">
        <v>211</v>
      </c>
      <c r="D29" s="24">
        <f>D30</f>
        <v>17692.4</v>
      </c>
      <c r="E29" s="9">
        <f>60/0.78*0.64</f>
        <v>49.2307692307692</v>
      </c>
      <c r="F29" s="6">
        <f t="shared" ref="F29:F37" si="2">D29*E29</f>
        <v>871010.461538461</v>
      </c>
      <c r="G29" s="10" t="s">
        <v>228</v>
      </c>
      <c r="I29" s="3"/>
    </row>
    <row r="30" s="1" customFormat="1" ht="72" spans="1:15">
      <c r="A30" s="7">
        <v>1.2</v>
      </c>
      <c r="B30" s="10" t="s">
        <v>223</v>
      </c>
      <c r="C30" s="7" t="s">
        <v>211</v>
      </c>
      <c r="D30" s="25">
        <f>(250*7.4*1.1+1780*2.2*1.1)+1540*6.7*1.1</f>
        <v>17692.4</v>
      </c>
      <c r="E30" s="12">
        <f>N30</f>
        <v>418</v>
      </c>
      <c r="F30" s="6">
        <f t="shared" si="2"/>
        <v>7395423.2</v>
      </c>
      <c r="G30" s="10" t="s">
        <v>229</v>
      </c>
      <c r="H30" s="1">
        <v>90</v>
      </c>
      <c r="I30" s="3">
        <v>8</v>
      </c>
      <c r="J30" s="1">
        <v>90</v>
      </c>
      <c r="K30" s="1">
        <v>180</v>
      </c>
      <c r="L30" s="1">
        <v>50</v>
      </c>
      <c r="N30" s="1">
        <f>SUM(H30:M30)</f>
        <v>418</v>
      </c>
      <c r="O30" s="1" t="s">
        <v>214</v>
      </c>
    </row>
    <row r="31" s="1" customFormat="1" ht="24" spans="1:15">
      <c r="A31" s="7">
        <v>1.3</v>
      </c>
      <c r="B31" s="6" t="s">
        <v>215</v>
      </c>
      <c r="C31" s="7" t="s">
        <v>49</v>
      </c>
      <c r="D31" s="25">
        <f>(1920+1540)*1.1</f>
        <v>3806</v>
      </c>
      <c r="E31" s="12">
        <v>75</v>
      </c>
      <c r="F31" s="6">
        <f t="shared" si="2"/>
        <v>285450</v>
      </c>
      <c r="G31" s="6"/>
      <c r="I31" s="3"/>
      <c r="O31" s="1" t="s">
        <v>216</v>
      </c>
    </row>
    <row r="32" s="1" customFormat="1" spans="1:9">
      <c r="A32" s="7">
        <v>1.4</v>
      </c>
      <c r="B32" s="6" t="s">
        <v>217</v>
      </c>
      <c r="C32" s="7" t="s">
        <v>211</v>
      </c>
      <c r="D32" s="25">
        <f>(1840*5.2*1.1-3550)+(1470*4.9-3210)*1.1</f>
        <v>11367.1</v>
      </c>
      <c r="E32" s="12">
        <v>30</v>
      </c>
      <c r="F32" s="6">
        <f t="shared" si="2"/>
        <v>341013</v>
      </c>
      <c r="G32" s="6" t="s">
        <v>230</v>
      </c>
      <c r="I32" s="3"/>
    </row>
    <row r="33" s="1" customFormat="1" ht="36" spans="1:9">
      <c r="A33" s="7">
        <v>1.5</v>
      </c>
      <c r="B33" s="6" t="s">
        <v>218</v>
      </c>
      <c r="C33" s="7" t="s">
        <v>211</v>
      </c>
      <c r="D33" s="25">
        <f>D32</f>
        <v>11367.1</v>
      </c>
      <c r="E33" s="12">
        <f>$E$8</f>
        <v>165</v>
      </c>
      <c r="F33" s="6">
        <f t="shared" si="2"/>
        <v>1875571.5</v>
      </c>
      <c r="G33" s="10" t="s">
        <v>147</v>
      </c>
      <c r="I33" s="3"/>
    </row>
    <row r="34" s="1" customFormat="1" spans="1:9">
      <c r="A34" s="7">
        <v>1.6</v>
      </c>
      <c r="B34" s="6" t="s">
        <v>219</v>
      </c>
      <c r="C34" s="7" t="s">
        <v>211</v>
      </c>
      <c r="D34" s="25">
        <f>(3250+3210)*1.1</f>
        <v>7106</v>
      </c>
      <c r="E34" s="12">
        <v>30</v>
      </c>
      <c r="F34" s="6">
        <f t="shared" si="2"/>
        <v>213180</v>
      </c>
      <c r="G34" s="6"/>
      <c r="I34" s="3"/>
    </row>
    <row r="35" s="1" customFormat="1" spans="1:9">
      <c r="A35" s="7">
        <v>1.7</v>
      </c>
      <c r="B35" s="6" t="s">
        <v>220</v>
      </c>
      <c r="C35" s="7" t="s">
        <v>211</v>
      </c>
      <c r="D35" s="25">
        <f>D34</f>
        <v>7106</v>
      </c>
      <c r="E35" s="12">
        <v>250</v>
      </c>
      <c r="F35" s="6">
        <f t="shared" si="2"/>
        <v>1776500</v>
      </c>
      <c r="G35" s="6"/>
      <c r="I35" s="3"/>
    </row>
    <row r="36" s="1" customFormat="1" spans="1:9">
      <c r="A36" s="7">
        <v>1.8</v>
      </c>
      <c r="B36" s="13" t="s">
        <v>231</v>
      </c>
      <c r="C36" s="26" t="s">
        <v>211</v>
      </c>
      <c r="D36" s="27">
        <f>(1780+250+1540)*0.15*1.5</f>
        <v>803.25</v>
      </c>
      <c r="E36" s="12">
        <v>30</v>
      </c>
      <c r="F36" s="6">
        <f t="shared" si="2"/>
        <v>24097.5</v>
      </c>
      <c r="G36" s="6"/>
      <c r="I36" s="3"/>
    </row>
    <row r="37" s="1" customFormat="1" spans="1:9">
      <c r="A37" s="7">
        <v>1.9</v>
      </c>
      <c r="B37" s="13" t="s">
        <v>221</v>
      </c>
      <c r="C37" s="7" t="s">
        <v>211</v>
      </c>
      <c r="D37" s="27">
        <f>D29+D32+D34+D36</f>
        <v>36968.75</v>
      </c>
      <c r="E37" s="15">
        <v>50</v>
      </c>
      <c r="F37" s="6">
        <f t="shared" si="2"/>
        <v>1848437.5</v>
      </c>
      <c r="G37" s="6"/>
      <c r="I37" s="3">
        <f>D29+D32+D34+D36</f>
        <v>36968.75</v>
      </c>
    </row>
    <row r="38" s="1" customFormat="1" ht="14.25" spans="1:9">
      <c r="A38" s="28" t="s">
        <v>232</v>
      </c>
      <c r="B38" s="29"/>
      <c r="C38" s="29"/>
      <c r="D38" s="29"/>
      <c r="E38" s="29"/>
      <c r="F38" s="29"/>
      <c r="G38" s="29"/>
      <c r="I38" s="3"/>
    </row>
    <row r="39" s="1" customFormat="1" spans="1:9">
      <c r="A39" s="6" t="s">
        <v>36</v>
      </c>
      <c r="B39" s="6" t="s">
        <v>207</v>
      </c>
      <c r="C39" s="6" t="s">
        <v>46</v>
      </c>
      <c r="D39" s="6" t="s">
        <v>208</v>
      </c>
      <c r="E39" s="6"/>
      <c r="F39" s="6"/>
      <c r="G39" s="6" t="s">
        <v>41</v>
      </c>
      <c r="I39" s="3"/>
    </row>
    <row r="40" s="1" customFormat="1" spans="1:9">
      <c r="A40" s="7">
        <v>1</v>
      </c>
      <c r="B40" s="6" t="s">
        <v>111</v>
      </c>
      <c r="C40" s="6"/>
      <c r="D40" s="6"/>
      <c r="E40" s="6"/>
      <c r="F40" s="6"/>
      <c r="G40" s="6"/>
      <c r="I40" s="3"/>
    </row>
    <row r="41" s="1" customFormat="1" spans="1:9">
      <c r="A41" s="7">
        <v>1.1</v>
      </c>
      <c r="B41" s="6" t="s">
        <v>210</v>
      </c>
      <c r="C41" s="7" t="s">
        <v>211</v>
      </c>
      <c r="D41" s="8">
        <f>D42</f>
        <v>28315.43</v>
      </c>
      <c r="E41" s="9">
        <f>60/0.78*0.72</f>
        <v>55.3846153846154</v>
      </c>
      <c r="F41" s="6">
        <f t="shared" ref="F41:F50" si="3">D41*E41</f>
        <v>1568239.2</v>
      </c>
      <c r="G41" s="10" t="s">
        <v>148</v>
      </c>
      <c r="I41" s="3"/>
    </row>
    <row r="42" s="1" customFormat="1" ht="72" spans="1:15">
      <c r="A42" s="7">
        <v>1.2</v>
      </c>
      <c r="B42" s="10" t="s">
        <v>212</v>
      </c>
      <c r="C42" s="7" t="s">
        <v>211</v>
      </c>
      <c r="D42" s="11">
        <f>(578*6.6+1365*5.9)*1.1+(570*7.7+240*7.4+500*7.1+210*7+420*6.4)*1.1</f>
        <v>28315.43</v>
      </c>
      <c r="E42" s="12">
        <f>E30+20</f>
        <v>438</v>
      </c>
      <c r="F42" s="6">
        <f t="shared" si="3"/>
        <v>12402158.34</v>
      </c>
      <c r="G42" s="10" t="s">
        <v>233</v>
      </c>
      <c r="I42" s="3"/>
      <c r="O42" s="1" t="s">
        <v>234</v>
      </c>
    </row>
    <row r="43" s="1" customFormat="1" ht="24" spans="1:15">
      <c r="A43" s="7">
        <v>1.3</v>
      </c>
      <c r="B43" s="6" t="s">
        <v>215</v>
      </c>
      <c r="C43" s="7" t="s">
        <v>49</v>
      </c>
      <c r="D43" s="11">
        <f>1940*2*1.1</f>
        <v>4268</v>
      </c>
      <c r="E43" s="12">
        <v>75</v>
      </c>
      <c r="F43" s="6">
        <f t="shared" si="3"/>
        <v>320100</v>
      </c>
      <c r="G43" s="6"/>
      <c r="I43" s="3"/>
      <c r="O43" s="1" t="s">
        <v>235</v>
      </c>
    </row>
    <row r="44" s="1" customFormat="1" spans="1:9">
      <c r="A44" s="7">
        <v>1.4</v>
      </c>
      <c r="B44" s="6" t="s">
        <v>217</v>
      </c>
      <c r="C44" s="7" t="s">
        <v>211</v>
      </c>
      <c r="D44" s="11">
        <f>(578*2.1+1365*2.2)*1.1+(570*3.8+240*3.6+500*3.3+210*2.9+420*2.8)*1.1</f>
        <v>11749.98</v>
      </c>
      <c r="E44" s="12">
        <v>30</v>
      </c>
      <c r="F44" s="6">
        <f t="shared" si="3"/>
        <v>352499.4</v>
      </c>
      <c r="G44" s="6"/>
      <c r="I44" s="3"/>
    </row>
    <row r="45" s="1" customFormat="1" ht="36" spans="1:9">
      <c r="A45" s="7">
        <v>1.5</v>
      </c>
      <c r="B45" s="6" t="s">
        <v>218</v>
      </c>
      <c r="C45" s="7" t="s">
        <v>211</v>
      </c>
      <c r="D45" s="11">
        <f>D44</f>
        <v>11749.98</v>
      </c>
      <c r="E45" s="12">
        <f>$E$8</f>
        <v>165</v>
      </c>
      <c r="F45" s="6">
        <f t="shared" si="3"/>
        <v>1938746.7</v>
      </c>
      <c r="G45" s="10" t="s">
        <v>147</v>
      </c>
      <c r="I45" s="3"/>
    </row>
    <row r="46" s="1" customFormat="1" spans="1:9">
      <c r="A46" s="7">
        <v>1.6</v>
      </c>
      <c r="B46" s="30" t="s">
        <v>231</v>
      </c>
      <c r="C46" s="31" t="s">
        <v>211</v>
      </c>
      <c r="D46" s="32">
        <f>(1940+1940)*0.15*1.5</f>
        <v>873</v>
      </c>
      <c r="E46" s="33">
        <v>30</v>
      </c>
      <c r="F46" s="6">
        <f t="shared" si="3"/>
        <v>26190</v>
      </c>
      <c r="G46" s="34"/>
      <c r="I46" s="3">
        <f>D41+D44+D46</f>
        <v>40938.41</v>
      </c>
    </row>
    <row r="47" s="1" customFormat="1" spans="1:9">
      <c r="A47" s="7">
        <v>1.7</v>
      </c>
      <c r="B47" s="35" t="s">
        <v>226</v>
      </c>
      <c r="C47" s="36" t="s">
        <v>227</v>
      </c>
      <c r="D47" s="37">
        <v>640</v>
      </c>
      <c r="E47" s="12">
        <v>800</v>
      </c>
      <c r="F47" s="6">
        <f t="shared" si="3"/>
        <v>512000</v>
      </c>
      <c r="G47" s="38"/>
      <c r="I47" s="3"/>
    </row>
    <row r="48" s="1" customFormat="1" spans="1:9">
      <c r="A48" s="7">
        <v>1.8</v>
      </c>
      <c r="B48" s="6" t="s">
        <v>219</v>
      </c>
      <c r="C48" s="7" t="s">
        <v>211</v>
      </c>
      <c r="D48" s="25">
        <f>200*1.1</f>
        <v>220</v>
      </c>
      <c r="E48" s="12">
        <v>30</v>
      </c>
      <c r="F48" s="6">
        <f t="shared" si="3"/>
        <v>6600</v>
      </c>
      <c r="G48" s="38"/>
      <c r="I48" s="3"/>
    </row>
    <row r="49" s="1" customFormat="1" spans="1:9">
      <c r="A49" s="7">
        <v>1.9</v>
      </c>
      <c r="B49" s="6" t="s">
        <v>220</v>
      </c>
      <c r="C49" s="7" t="s">
        <v>211</v>
      </c>
      <c r="D49" s="25">
        <f>D48</f>
        <v>220</v>
      </c>
      <c r="E49" s="12">
        <v>250</v>
      </c>
      <c r="F49" s="6">
        <f t="shared" si="3"/>
        <v>55000</v>
      </c>
      <c r="G49" s="38"/>
      <c r="I49" s="3"/>
    </row>
    <row r="50" s="1" customFormat="1" ht="14.25" spans="1:9">
      <c r="A50" s="21">
        <v>1.1</v>
      </c>
      <c r="B50" s="13" t="s">
        <v>221</v>
      </c>
      <c r="C50" s="7" t="s">
        <v>211</v>
      </c>
      <c r="D50" s="14">
        <f>D41+D44+D46+D48</f>
        <v>41158.41</v>
      </c>
      <c r="E50" s="15">
        <v>50</v>
      </c>
      <c r="F50" s="6">
        <f t="shared" si="3"/>
        <v>2057920.5</v>
      </c>
      <c r="G50" s="10"/>
      <c r="I50" s="3"/>
    </row>
    <row r="51" s="1" customFormat="1" ht="14.25" spans="1:9">
      <c r="A51" s="4" t="s">
        <v>236</v>
      </c>
      <c r="B51" s="5"/>
      <c r="C51" s="5"/>
      <c r="D51" s="5"/>
      <c r="E51" s="5"/>
      <c r="F51" s="5"/>
      <c r="G51" s="5"/>
      <c r="I51" s="3"/>
    </row>
    <row r="52" s="1" customFormat="1" spans="1:9">
      <c r="A52" s="6" t="s">
        <v>36</v>
      </c>
      <c r="B52" s="6" t="s">
        <v>207</v>
      </c>
      <c r="C52" s="6" t="s">
        <v>46</v>
      </c>
      <c r="D52" s="6" t="s">
        <v>208</v>
      </c>
      <c r="E52" s="6"/>
      <c r="F52" s="6"/>
      <c r="G52" s="6" t="s">
        <v>41</v>
      </c>
      <c r="I52" s="3"/>
    </row>
    <row r="53" s="1" customFormat="1" spans="1:9">
      <c r="A53" s="7">
        <v>1</v>
      </c>
      <c r="B53" s="6" t="s">
        <v>111</v>
      </c>
      <c r="C53" s="6"/>
      <c r="D53" s="6"/>
      <c r="E53" s="6"/>
      <c r="F53" s="6"/>
      <c r="G53" s="6"/>
      <c r="I53" s="3"/>
    </row>
    <row r="54" s="1" customFormat="1" spans="1:9">
      <c r="A54" s="7">
        <v>1.1</v>
      </c>
      <c r="B54" s="6" t="s">
        <v>210</v>
      </c>
      <c r="C54" s="7" t="s">
        <v>211</v>
      </c>
      <c r="D54" s="24">
        <f>D55</f>
        <v>11995.5</v>
      </c>
      <c r="E54" s="9">
        <f>60/0.78*0.63</f>
        <v>48.4615384615385</v>
      </c>
      <c r="F54" s="6">
        <f t="shared" ref="F54:F62" si="4">D54*E54</f>
        <v>581320.384615385</v>
      </c>
      <c r="G54" s="10" t="s">
        <v>237</v>
      </c>
      <c r="I54" s="3"/>
    </row>
    <row r="55" s="1" customFormat="1" ht="72" spans="1:9">
      <c r="A55" s="7">
        <v>1.2</v>
      </c>
      <c r="B55" s="10" t="s">
        <v>212</v>
      </c>
      <c r="C55" s="7" t="s">
        <v>211</v>
      </c>
      <c r="D55" s="25">
        <f>(1345*5*1.1+200*7.4*1.1)+540*5*1.1</f>
        <v>11995.5</v>
      </c>
      <c r="E55" s="12">
        <f>E30</f>
        <v>418</v>
      </c>
      <c r="F55" s="6">
        <f t="shared" si="4"/>
        <v>5014119</v>
      </c>
      <c r="G55" s="10" t="s">
        <v>238</v>
      </c>
      <c r="I55" s="3"/>
    </row>
    <row r="56" s="1" customFormat="1" ht="24" spans="1:15">
      <c r="A56" s="7">
        <v>1.3</v>
      </c>
      <c r="B56" s="6" t="s">
        <v>215</v>
      </c>
      <c r="C56" s="7" t="s">
        <v>49</v>
      </c>
      <c r="D56" s="25">
        <f>(1345+540)*1.1</f>
        <v>2073.5</v>
      </c>
      <c r="E56" s="12">
        <v>75</v>
      </c>
      <c r="F56" s="6">
        <f t="shared" si="4"/>
        <v>155512.5</v>
      </c>
      <c r="G56" s="6"/>
      <c r="I56" s="3"/>
      <c r="O56" s="1" t="s">
        <v>239</v>
      </c>
    </row>
    <row r="57" s="1" customFormat="1" spans="1:15">
      <c r="A57" s="7">
        <v>1.4</v>
      </c>
      <c r="B57" s="6" t="s">
        <v>217</v>
      </c>
      <c r="C57" s="7" t="s">
        <v>211</v>
      </c>
      <c r="D57" s="25">
        <f>(50*7.2*1.1+1330*0.3*1.1)+(30*9.6*1.1+530*1.5*1.1)</f>
        <v>2026.2</v>
      </c>
      <c r="E57" s="12">
        <v>30</v>
      </c>
      <c r="F57" s="6">
        <f t="shared" si="4"/>
        <v>60786</v>
      </c>
      <c r="G57" s="6" t="s">
        <v>230</v>
      </c>
      <c r="I57" s="3"/>
      <c r="O57" s="1" t="s">
        <v>216</v>
      </c>
    </row>
    <row r="58" s="1" customFormat="1" ht="36" spans="1:9">
      <c r="A58" s="7">
        <v>1.5</v>
      </c>
      <c r="B58" s="6" t="s">
        <v>218</v>
      </c>
      <c r="C58" s="7" t="s">
        <v>211</v>
      </c>
      <c r="D58" s="25">
        <f>D57</f>
        <v>2026.2</v>
      </c>
      <c r="E58" s="12">
        <f>$E$8</f>
        <v>165</v>
      </c>
      <c r="F58" s="6">
        <f t="shared" si="4"/>
        <v>334323</v>
      </c>
      <c r="G58" s="10" t="s">
        <v>147</v>
      </c>
      <c r="I58" s="3"/>
    </row>
    <row r="59" s="1" customFormat="1" spans="1:9">
      <c r="A59" s="7">
        <v>1.6</v>
      </c>
      <c r="B59" s="6" t="s">
        <v>219</v>
      </c>
      <c r="C59" s="7" t="s">
        <v>211</v>
      </c>
      <c r="D59" s="25">
        <f>4596*1*1.1</f>
        <v>5055.6</v>
      </c>
      <c r="E59" s="12">
        <v>30</v>
      </c>
      <c r="F59" s="6">
        <f t="shared" si="4"/>
        <v>151668</v>
      </c>
      <c r="G59" s="6"/>
      <c r="I59" s="3"/>
    </row>
    <row r="60" s="1" customFormat="1" spans="1:9">
      <c r="A60" s="7">
        <v>1.7</v>
      </c>
      <c r="B60" s="6" t="s">
        <v>220</v>
      </c>
      <c r="C60" s="7" t="s">
        <v>211</v>
      </c>
      <c r="D60" s="25">
        <f>D59</f>
        <v>5055.6</v>
      </c>
      <c r="E60" s="12">
        <v>250</v>
      </c>
      <c r="F60" s="6">
        <f t="shared" si="4"/>
        <v>1263900</v>
      </c>
      <c r="G60" s="6"/>
      <c r="I60" s="3"/>
    </row>
    <row r="61" s="1" customFormat="1" spans="1:9">
      <c r="A61" s="7">
        <v>1.8</v>
      </c>
      <c r="B61" s="30" t="s">
        <v>231</v>
      </c>
      <c r="C61" s="31" t="s">
        <v>211</v>
      </c>
      <c r="D61" s="39">
        <f>(1350+540)*0.15*1.5</f>
        <v>425.25</v>
      </c>
      <c r="E61" s="33">
        <v>30</v>
      </c>
      <c r="F61" s="6">
        <f t="shared" si="4"/>
        <v>12757.5</v>
      </c>
      <c r="G61" s="40"/>
      <c r="H61" s="1">
        <f>F62/I61</f>
        <v>50</v>
      </c>
      <c r="I61" s="3">
        <f>D54+D57+D59+D61</f>
        <v>19502.55</v>
      </c>
    </row>
    <row r="62" s="1" customFormat="1" ht="14.25" spans="1:9">
      <c r="A62" s="7">
        <v>1.9</v>
      </c>
      <c r="B62" s="13" t="s">
        <v>221</v>
      </c>
      <c r="C62" s="7" t="s">
        <v>211</v>
      </c>
      <c r="D62" s="27">
        <f>D55+D57+D59+D61</f>
        <v>19502.55</v>
      </c>
      <c r="E62" s="15">
        <v>50</v>
      </c>
      <c r="F62" s="6">
        <f t="shared" si="4"/>
        <v>975127.5</v>
      </c>
      <c r="G62" s="6"/>
      <c r="I62" s="3"/>
    </row>
    <row r="63" s="1" customFormat="1" ht="14.25" spans="1:9">
      <c r="A63" s="41" t="s">
        <v>240</v>
      </c>
      <c r="B63" s="42"/>
      <c r="C63" s="42"/>
      <c r="D63" s="42"/>
      <c r="E63" s="42"/>
      <c r="F63" s="42"/>
      <c r="G63" s="42"/>
      <c r="I63" s="3"/>
    </row>
    <row r="64" s="1" customFormat="1" spans="1:9">
      <c r="A64" s="43" t="s">
        <v>36</v>
      </c>
      <c r="B64" s="43" t="s">
        <v>207</v>
      </c>
      <c r="C64" s="43" t="s">
        <v>46</v>
      </c>
      <c r="D64" s="43" t="s">
        <v>208</v>
      </c>
      <c r="E64" s="43"/>
      <c r="F64" s="43"/>
      <c r="G64" s="43" t="s">
        <v>41</v>
      </c>
      <c r="I64" s="3"/>
    </row>
    <row r="65" s="1" customFormat="1" spans="1:9">
      <c r="A65" s="44">
        <v>1</v>
      </c>
      <c r="B65" s="43" t="s">
        <v>111</v>
      </c>
      <c r="C65" s="43"/>
      <c r="D65" s="43"/>
      <c r="E65" s="43"/>
      <c r="F65" s="43"/>
      <c r="G65" s="43"/>
      <c r="I65" s="3"/>
    </row>
    <row r="66" s="1" customFormat="1" spans="1:9">
      <c r="A66" s="44">
        <v>1.1</v>
      </c>
      <c r="B66" s="43" t="s">
        <v>210</v>
      </c>
      <c r="C66" s="44" t="s">
        <v>241</v>
      </c>
      <c r="D66" s="45">
        <f>D67+D68</f>
        <v>4645.3</v>
      </c>
      <c r="E66" s="9">
        <f>60/0.78*0.64</f>
        <v>49.2307692307692</v>
      </c>
      <c r="F66" s="6">
        <f t="shared" ref="F66:F76" si="5">D66*E66</f>
        <v>228691.692307692</v>
      </c>
      <c r="G66" s="46" t="s">
        <v>228</v>
      </c>
      <c r="I66" s="3"/>
    </row>
    <row r="67" s="1" customFormat="1" ht="72" spans="1:9">
      <c r="A67" s="44">
        <v>1.2</v>
      </c>
      <c r="B67" s="46" t="s">
        <v>212</v>
      </c>
      <c r="C67" s="44" t="s">
        <v>241</v>
      </c>
      <c r="D67" s="17">
        <f>(234*5*1.1+175*5.5)+206*5*1.1</f>
        <v>3382.5</v>
      </c>
      <c r="E67" s="12">
        <f>E55</f>
        <v>418</v>
      </c>
      <c r="F67" s="6">
        <f t="shared" si="5"/>
        <v>1413885</v>
      </c>
      <c r="G67" s="10" t="s">
        <v>242</v>
      </c>
      <c r="I67" s="3"/>
    </row>
    <row r="68" s="1" customFormat="1" ht="72" spans="1:9">
      <c r="A68" s="44">
        <v>1.3</v>
      </c>
      <c r="B68" s="46" t="s">
        <v>223</v>
      </c>
      <c r="C68" s="44" t="s">
        <v>241</v>
      </c>
      <c r="D68" s="17">
        <f>224*2.2*1.1+234*2.8*1.1</f>
        <v>1262.8</v>
      </c>
      <c r="E68" s="12">
        <f>E67</f>
        <v>418</v>
      </c>
      <c r="F68" s="6">
        <f t="shared" si="5"/>
        <v>527850.4</v>
      </c>
      <c r="G68" s="10" t="s">
        <v>243</v>
      </c>
      <c r="I68" s="3"/>
    </row>
    <row r="69" s="1" customFormat="1" ht="24" spans="1:15">
      <c r="A69" s="44">
        <v>1.4</v>
      </c>
      <c r="B69" s="43" t="s">
        <v>215</v>
      </c>
      <c r="C69" s="44" t="s">
        <v>49</v>
      </c>
      <c r="D69" s="17">
        <f>(900+174*2)*1.1</f>
        <v>1372.8</v>
      </c>
      <c r="E69" s="12">
        <v>75</v>
      </c>
      <c r="F69" s="6">
        <f t="shared" si="5"/>
        <v>102960</v>
      </c>
      <c r="G69" s="43"/>
      <c r="I69" s="3"/>
      <c r="O69" s="1" t="s">
        <v>244</v>
      </c>
    </row>
    <row r="70" s="1" customFormat="1" spans="1:15">
      <c r="A70" s="44">
        <v>1.5</v>
      </c>
      <c r="B70" s="43" t="s">
        <v>217</v>
      </c>
      <c r="C70" s="44" t="s">
        <v>241</v>
      </c>
      <c r="D70" s="17">
        <f>(224*5.2-117)*1.1+(234*5.8+206*2.8)*1.1</f>
        <v>3279.98</v>
      </c>
      <c r="E70" s="12">
        <v>30</v>
      </c>
      <c r="F70" s="6">
        <f t="shared" si="5"/>
        <v>98399.4</v>
      </c>
      <c r="G70" s="43"/>
      <c r="I70" s="3"/>
      <c r="O70" s="1" t="s">
        <v>216</v>
      </c>
    </row>
    <row r="71" s="1" customFormat="1" ht="36" spans="1:9">
      <c r="A71" s="44">
        <v>1.6</v>
      </c>
      <c r="B71" s="43" t="s">
        <v>218</v>
      </c>
      <c r="C71" s="44" t="s">
        <v>241</v>
      </c>
      <c r="D71" s="17">
        <f>D70</f>
        <v>3279.98</v>
      </c>
      <c r="E71" s="12">
        <f>$E$8</f>
        <v>165</v>
      </c>
      <c r="F71" s="6">
        <f t="shared" si="5"/>
        <v>541196.7</v>
      </c>
      <c r="G71" s="10" t="s">
        <v>147</v>
      </c>
      <c r="I71" s="3"/>
    </row>
    <row r="72" s="1" customFormat="1" spans="1:9">
      <c r="A72" s="44">
        <v>1.7</v>
      </c>
      <c r="B72" s="13" t="s">
        <v>231</v>
      </c>
      <c r="C72" s="26" t="s">
        <v>211</v>
      </c>
      <c r="D72" s="47">
        <f>(434*4+175*2)*0.15*1.5</f>
        <v>469.35</v>
      </c>
      <c r="E72" s="15">
        <v>30</v>
      </c>
      <c r="F72" s="6">
        <f t="shared" si="5"/>
        <v>14080.5</v>
      </c>
      <c r="G72" s="48"/>
      <c r="H72" s="1">
        <f>F76/I72</f>
        <v>35.267175513979</v>
      </c>
      <c r="I72" s="3">
        <f>D66+D67+D68+D70+D72</f>
        <v>13039.93</v>
      </c>
    </row>
    <row r="73" s="1" customFormat="1" spans="1:7">
      <c r="A73" s="44">
        <v>1.8</v>
      </c>
      <c r="B73" s="35" t="s">
        <v>226</v>
      </c>
      <c r="C73" s="36" t="s">
        <v>227</v>
      </c>
      <c r="D73" s="37">
        <v>68</v>
      </c>
      <c r="E73" s="12">
        <v>800</v>
      </c>
      <c r="F73" s="6">
        <f t="shared" si="5"/>
        <v>54400</v>
      </c>
      <c r="G73" s="49"/>
    </row>
    <row r="74" s="1" customFormat="1" spans="1:7">
      <c r="A74" s="44">
        <v>1.9</v>
      </c>
      <c r="B74" s="6" t="s">
        <v>219</v>
      </c>
      <c r="C74" s="7" t="s">
        <v>211</v>
      </c>
      <c r="D74" s="25">
        <f>730*1.1</f>
        <v>803</v>
      </c>
      <c r="E74" s="12">
        <v>30</v>
      </c>
      <c r="F74" s="6">
        <f t="shared" si="5"/>
        <v>24090</v>
      </c>
      <c r="G74" s="50"/>
    </row>
    <row r="75" s="1" customFormat="1" spans="1:6">
      <c r="A75" s="51">
        <v>1.1</v>
      </c>
      <c r="B75" s="6" t="s">
        <v>220</v>
      </c>
      <c r="C75" s="7" t="s">
        <v>211</v>
      </c>
      <c r="D75" s="25">
        <f>D74</f>
        <v>803</v>
      </c>
      <c r="E75" s="12">
        <v>250</v>
      </c>
      <c r="F75" s="6">
        <f t="shared" si="5"/>
        <v>200750</v>
      </c>
    </row>
    <row r="76" s="1" customFormat="1" ht="14.25" spans="1:9">
      <c r="A76" s="51">
        <v>1.11</v>
      </c>
      <c r="B76" s="13" t="s">
        <v>221</v>
      </c>
      <c r="C76" s="7" t="s">
        <v>211</v>
      </c>
      <c r="D76" s="47">
        <f>D66+D70+D72+D74</f>
        <v>9197.63</v>
      </c>
      <c r="E76" s="15">
        <v>50</v>
      </c>
      <c r="F76" s="6">
        <f t="shared" si="5"/>
        <v>459881.5</v>
      </c>
      <c r="G76" s="48"/>
      <c r="I76" s="3"/>
    </row>
    <row r="77" s="1" customFormat="1" ht="14.25" spans="1:9">
      <c r="A77" s="52" t="s">
        <v>245</v>
      </c>
      <c r="B77" s="52"/>
      <c r="C77" s="52"/>
      <c r="D77" s="52"/>
      <c r="E77" s="52"/>
      <c r="F77" s="52"/>
      <c r="G77" s="52"/>
      <c r="I77" s="3"/>
    </row>
    <row r="78" s="1" customFormat="1" spans="1:9">
      <c r="A78" s="53" t="s">
        <v>36</v>
      </c>
      <c r="B78" s="53" t="s">
        <v>207</v>
      </c>
      <c r="C78" s="53" t="s">
        <v>46</v>
      </c>
      <c r="D78" s="53" t="s">
        <v>208</v>
      </c>
      <c r="E78" s="53"/>
      <c r="F78" s="53"/>
      <c r="G78" s="53" t="s">
        <v>41</v>
      </c>
      <c r="I78" s="3"/>
    </row>
    <row r="79" s="1" customFormat="1" spans="1:9">
      <c r="A79" s="54">
        <v>1</v>
      </c>
      <c r="B79" s="53" t="s">
        <v>111</v>
      </c>
      <c r="C79" s="53"/>
      <c r="D79" s="53"/>
      <c r="E79" s="53"/>
      <c r="F79" s="53"/>
      <c r="G79" s="53"/>
      <c r="I79" s="3"/>
    </row>
    <row r="80" s="1" customFormat="1" spans="1:9">
      <c r="A80" s="54">
        <v>1.1</v>
      </c>
      <c r="B80" s="53" t="s">
        <v>210</v>
      </c>
      <c r="C80" s="54" t="s">
        <v>246</v>
      </c>
      <c r="D80" s="55">
        <f>D81</f>
        <v>5192</v>
      </c>
      <c r="E80" s="56">
        <v>49</v>
      </c>
      <c r="F80" s="56">
        <f t="shared" ref="F80:F87" si="6">D80*E80</f>
        <v>254408</v>
      </c>
      <c r="G80" s="57" t="s">
        <v>228</v>
      </c>
      <c r="I80" s="3"/>
    </row>
    <row r="81" s="1" customFormat="1" ht="72" spans="1:9">
      <c r="A81" s="54">
        <v>1.2</v>
      </c>
      <c r="B81" s="57" t="s">
        <v>247</v>
      </c>
      <c r="C81" s="54" t="s">
        <v>246</v>
      </c>
      <c r="D81" s="58">
        <f>944*5*1.1</f>
        <v>5192</v>
      </c>
      <c r="E81" s="59">
        <v>418</v>
      </c>
      <c r="F81" s="56">
        <f t="shared" si="6"/>
        <v>2170256</v>
      </c>
      <c r="G81" s="60" t="s">
        <v>243</v>
      </c>
      <c r="I81" s="3"/>
    </row>
    <row r="82" s="1" customFormat="1" ht="24" spans="1:9">
      <c r="A82" s="54">
        <v>1.3</v>
      </c>
      <c r="B82" s="53" t="s">
        <v>215</v>
      </c>
      <c r="C82" s="54" t="s">
        <v>49</v>
      </c>
      <c r="D82" s="58">
        <f>944*1.1</f>
        <v>1038.4</v>
      </c>
      <c r="E82" s="61">
        <v>75</v>
      </c>
      <c r="F82" s="56">
        <f t="shared" si="6"/>
        <v>77880</v>
      </c>
      <c r="G82" s="53"/>
      <c r="I82" s="3"/>
    </row>
    <row r="83" s="1" customFormat="1" spans="1:9">
      <c r="A83" s="54">
        <v>1.4</v>
      </c>
      <c r="B83" s="53" t="s">
        <v>217</v>
      </c>
      <c r="C83" s="54" t="s">
        <v>246</v>
      </c>
      <c r="D83" s="58">
        <f>944*2*1.1</f>
        <v>2076.8</v>
      </c>
      <c r="E83" s="61">
        <v>30</v>
      </c>
      <c r="F83" s="56">
        <f t="shared" si="6"/>
        <v>62304</v>
      </c>
      <c r="G83" s="53"/>
      <c r="I83" s="3"/>
    </row>
    <row r="84" s="1" customFormat="1" ht="36" spans="1:15">
      <c r="A84" s="54">
        <v>1.5</v>
      </c>
      <c r="B84" s="53" t="s">
        <v>218</v>
      </c>
      <c r="C84" s="54" t="s">
        <v>246</v>
      </c>
      <c r="D84" s="58">
        <f>D83</f>
        <v>2076.8</v>
      </c>
      <c r="E84" s="59">
        <v>165</v>
      </c>
      <c r="F84" s="56">
        <f t="shared" si="6"/>
        <v>342672</v>
      </c>
      <c r="G84" s="60" t="s">
        <v>147</v>
      </c>
      <c r="H84" s="1">
        <f>F87/I84</f>
        <v>50</v>
      </c>
      <c r="I84" s="3">
        <f>D81+D84+D85</f>
        <v>7481.2</v>
      </c>
      <c r="O84" s="1" t="s">
        <v>225</v>
      </c>
    </row>
    <row r="85" s="1" customFormat="1" spans="1:9">
      <c r="A85" s="54">
        <v>1.6</v>
      </c>
      <c r="B85" s="62" t="s">
        <v>231</v>
      </c>
      <c r="C85" s="63" t="s">
        <v>248</v>
      </c>
      <c r="D85" s="37">
        <f>944*0.15*1.5</f>
        <v>212.4</v>
      </c>
      <c r="E85" s="64">
        <v>30</v>
      </c>
      <c r="F85" s="56">
        <f t="shared" si="6"/>
        <v>6372</v>
      </c>
      <c r="G85" s="65"/>
      <c r="I85" s="3"/>
    </row>
    <row r="86" s="1" customFormat="1" spans="1:7">
      <c r="A86" s="54">
        <v>1.7</v>
      </c>
      <c r="B86" s="35" t="s">
        <v>226</v>
      </c>
      <c r="C86" s="36" t="s">
        <v>227</v>
      </c>
      <c r="D86" s="37">
        <v>50</v>
      </c>
      <c r="E86" s="12">
        <v>800</v>
      </c>
      <c r="F86" s="6">
        <f t="shared" si="6"/>
        <v>40000</v>
      </c>
      <c r="G86" s="49"/>
    </row>
    <row r="87" s="1" customFormat="1" spans="1:9">
      <c r="A87" s="54">
        <v>1.8</v>
      </c>
      <c r="B87" s="13" t="s">
        <v>221</v>
      </c>
      <c r="C87" s="7" t="s">
        <v>211</v>
      </c>
      <c r="D87" s="37">
        <f>D80+D83+D85</f>
        <v>7481.2</v>
      </c>
      <c r="E87" s="15">
        <v>50</v>
      </c>
      <c r="F87" s="56">
        <f t="shared" si="6"/>
        <v>374060</v>
      </c>
      <c r="G87" s="65"/>
      <c r="I87" s="3"/>
    </row>
  </sheetData>
  <autoFilter xmlns:etc="http://www.wps.cn/officeDocument/2017/etCustomData" ref="A3:N87" etc:filterBottomFollowUsedRange="0">
    <extLst/>
  </autoFilter>
  <mergeCells count="7">
    <mergeCell ref="A1:G1"/>
    <mergeCell ref="A12:G12"/>
    <mergeCell ref="A26:G26"/>
    <mergeCell ref="A38:G38"/>
    <mergeCell ref="A51:G51"/>
    <mergeCell ref="A63:G63"/>
    <mergeCell ref="A77:G7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概算</vt:lpstr>
      <vt:lpstr>规模</vt:lpstr>
      <vt:lpstr>明细</vt:lpstr>
      <vt:lpstr>明细2</vt:lpstr>
      <vt:lpstr>可研</vt:lpstr>
      <vt:lpstr>给排水</vt:lpstr>
      <vt:lpstr>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荒烟孤城</cp:lastModifiedBy>
  <dcterms:created xsi:type="dcterms:W3CDTF">2025-04-07T11:54:00Z</dcterms:created>
  <dcterms:modified xsi:type="dcterms:W3CDTF">2025-10-17T08:50:17Z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441D65F798B8401E9E1D25CB419B9C26_13</vt:lpwstr>
  </property>
  <property fmtid="{D5CDD505-2E9C-101B-9397-08002B2CF9AE}" pid="3" name="KSOProductBuildVer">
    <vt:lpwstr>2052-12.1.0.19302</vt:lpwstr>
  </property>
</Properties>
</file>